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8.xml" ContentType="application/vnd.openxmlformats-officedocument.drawing+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cott\OneDrive - Moreland City Council\CAANZ Model Budget\"/>
    </mc:Choice>
  </mc:AlternateContent>
  <bookViews>
    <workbookView xWindow="0" yWindow="60" windowWidth="20496" windowHeight="7692" tabRatio="798"/>
  </bookViews>
  <sheets>
    <sheet name="Title" sheetId="1" r:id="rId1"/>
    <sheet name="Contents" sheetId="2" r:id="rId2"/>
    <sheet name="Mayor" sheetId="30" r:id="rId3"/>
    <sheet name="Executive Summary" sheetId="3" r:id="rId4"/>
    <sheet name="Budget Reports" sheetId="19" r:id="rId5"/>
    <sheet name="1" sheetId="7" r:id="rId6"/>
    <sheet name="2" sheetId="28" r:id="rId7"/>
    <sheet name="3" sheetId="20" r:id="rId8"/>
    <sheet name="4" sheetId="17" r:id="rId9"/>
    <sheet name="5" sheetId="26" r:id="rId10"/>
    <sheet name="6" sheetId="23" r:id="rId11"/>
    <sheet name="7" sheetId="21" r:id="rId12"/>
    <sheet name="Budget Analysis" sheetId="29" r:id="rId13"/>
    <sheet name="8" sheetId="25" r:id="rId14"/>
    <sheet name="9" sheetId="10" r:id="rId15"/>
    <sheet name="10" sheetId="11" r:id="rId16"/>
    <sheet name="11" sheetId="12" r:id="rId17"/>
    <sheet name="12" sheetId="13" r:id="rId18"/>
    <sheet name="13" sheetId="15" r:id="rId19"/>
    <sheet name="Long Term Strategies" sheetId="31" r:id="rId20"/>
    <sheet name="14" sheetId="27" r:id="rId21"/>
    <sheet name="15" sheetId="18" r:id="rId22"/>
    <sheet name="16" sheetId="16" r:id="rId23"/>
    <sheet name="A" sheetId="24" r:id="rId24"/>
    <sheet name="B" sheetId="8" r:id="rId25"/>
    <sheet name="Rate Cap - Model Budget" sheetId="33" r:id="rId26"/>
  </sheets>
  <definedNames>
    <definedName name="_Hlk158451477" localSheetId="7">'3'!#REF!</definedName>
    <definedName name="_Hlk158451477" localSheetId="9">'5'!#REF!</definedName>
    <definedName name="OLE_LINK4" localSheetId="11">'7'!#REF!</definedName>
    <definedName name="OLE_LINK5" localSheetId="6">'2'!$B$197</definedName>
    <definedName name="OLE_LINK7" localSheetId="14">'9'!$A$44</definedName>
    <definedName name="OLE_LINK9" localSheetId="14">'9'!$A$42</definedName>
    <definedName name="_xlnm.Print_Area" localSheetId="5">'1'!$B$1:$C$45</definedName>
    <definedName name="_xlnm.Print_Area" localSheetId="15">'10'!$A$1:$G$153</definedName>
    <definedName name="_xlnm.Print_Area" localSheetId="16">'11'!$A$1:$E$100</definedName>
    <definedName name="_xlnm.Print_Area" localSheetId="17">'12'!$A$1:$F$158</definedName>
    <definedName name="_xlnm.Print_Area" localSheetId="18">'13'!$A$1:$F$90</definedName>
    <definedName name="_xlnm.Print_Area" localSheetId="20">'14'!$A$1:$I$49</definedName>
    <definedName name="_xlnm.Print_Area" localSheetId="21">'15'!$A$1:$F$45</definedName>
    <definedName name="_xlnm.Print_Area" localSheetId="22">'16'!$A$1:$G$108</definedName>
    <definedName name="_xlnm.Print_Area" localSheetId="6">'2'!$B$1:$G$273</definedName>
    <definedName name="_xlnm.Print_Area" localSheetId="7">'3'!$B$1:$H$305</definedName>
    <definedName name="_xlnm.Print_Area" localSheetId="8">'4'!$A$1:$J$42</definedName>
    <definedName name="_xlnm.Print_Area" localSheetId="9">'5'!$B$1:$G$72</definedName>
    <definedName name="_xlnm.Print_Area" localSheetId="10">'6'!$B$1:$K$267</definedName>
    <definedName name="_xlnm.Print_Area" localSheetId="11">'7'!$B$1:$E$152</definedName>
    <definedName name="_xlnm.Print_Area" localSheetId="13">'8'!$A$1:$A$60</definedName>
    <definedName name="_xlnm.Print_Area" localSheetId="14">'9'!$A$1:$A$73</definedName>
    <definedName name="_xlnm.Print_Area" localSheetId="23">A!$A$1:$D$7</definedName>
    <definedName name="_xlnm.Print_Area" localSheetId="24">B!$A$1:$C$29</definedName>
    <definedName name="_xlnm.Print_Area" localSheetId="12">'Budget Analysis'!$A$1:$F$38</definedName>
    <definedName name="_xlnm.Print_Area" localSheetId="4">'Budget Reports'!$A$1:$F$12</definedName>
    <definedName name="_xlnm.Print_Area" localSheetId="1">Contents!$A$1:$B$33</definedName>
    <definedName name="_xlnm.Print_Area" localSheetId="3">'Executive Summary'!$A$1:$B$68</definedName>
    <definedName name="_xlnm.Print_Area" localSheetId="19">'Long Term Strategies'!$A$1:$F$10</definedName>
    <definedName name="_xlnm.Print_Area" localSheetId="2">Mayor!$A$1:$A$27</definedName>
    <definedName name="_xlnm.Print_Area" localSheetId="0">Title!$A$1:$B$39</definedName>
  </definedNames>
  <calcPr calcId="152511"/>
</workbook>
</file>

<file path=xl/calcChain.xml><?xml version="1.0" encoding="utf-8"?>
<calcChain xmlns="http://schemas.openxmlformats.org/spreadsheetml/2006/main">
  <c r="D58" i="12" l="1"/>
  <c r="C58" i="12"/>
  <c r="C179" i="20"/>
  <c r="C177" i="20"/>
  <c r="L177" i="20" s="1"/>
  <c r="C18" i="18"/>
  <c r="C19" i="18"/>
  <c r="C17" i="18"/>
  <c r="C44" i="20"/>
  <c r="C42" i="20"/>
  <c r="C78" i="21"/>
  <c r="K42" i="20" l="1"/>
  <c r="L42" i="20" s="1"/>
  <c r="C33" i="21"/>
  <c r="F19" i="18" l="1"/>
  <c r="F18" i="18"/>
  <c r="F17" i="18"/>
  <c r="F16" i="18"/>
  <c r="F15" i="18"/>
  <c r="D77" i="21"/>
  <c r="E77" i="21" s="1"/>
  <c r="C77" i="21"/>
  <c r="C145" i="21"/>
  <c r="L8" i="33"/>
  <c r="D37" i="33"/>
  <c r="E37" i="33" s="1"/>
  <c r="C33" i="33"/>
  <c r="B33" i="33"/>
  <c r="H32" i="33"/>
  <c r="G32" i="33"/>
  <c r="I32" i="33" s="1"/>
  <c r="D32" i="33"/>
  <c r="E32" i="33" s="1"/>
  <c r="H31" i="33"/>
  <c r="G31" i="33"/>
  <c r="D31" i="33"/>
  <c r="E31" i="33" s="1"/>
  <c r="H30" i="33"/>
  <c r="G30" i="33"/>
  <c r="D30" i="33"/>
  <c r="E30" i="33" s="1"/>
  <c r="D25" i="33"/>
  <c r="E25" i="33" s="1"/>
  <c r="C24" i="33"/>
  <c r="C26" i="33" s="1"/>
  <c r="C38" i="33" s="1"/>
  <c r="B24" i="33"/>
  <c r="B26" i="33" s="1"/>
  <c r="D23" i="33"/>
  <c r="E23" i="33" s="1"/>
  <c r="D22" i="33"/>
  <c r="E22" i="33" s="1"/>
  <c r="D21" i="33"/>
  <c r="E21" i="33" s="1"/>
  <c r="L19" i="33"/>
  <c r="B17" i="33"/>
  <c r="G16" i="33" s="1"/>
  <c r="L7" i="33" l="1"/>
  <c r="L13" i="33"/>
  <c r="I30" i="33"/>
  <c r="D33" i="33"/>
  <c r="E33" i="33" s="1"/>
  <c r="I31" i="33"/>
  <c r="I33" i="33" s="1"/>
  <c r="L9" i="33" s="1"/>
  <c r="G14" i="33"/>
  <c r="D38" i="33"/>
  <c r="E38" i="33" s="1"/>
  <c r="L30" i="33"/>
  <c r="D24" i="33"/>
  <c r="L25" i="33"/>
  <c r="G33" i="33"/>
  <c r="B40" i="33"/>
  <c r="G15" i="33"/>
  <c r="G17" i="33" s="1"/>
  <c r="D26" i="33" l="1"/>
  <c r="E24" i="33"/>
  <c r="G37" i="33" l="1"/>
  <c r="E26" i="33"/>
  <c r="L10" i="33" l="1"/>
  <c r="L16" i="33" s="1"/>
  <c r="L22" i="33" l="1"/>
  <c r="C143" i="21"/>
  <c r="L27" i="33" l="1"/>
  <c r="C147" i="21"/>
  <c r="C54" i="21"/>
  <c r="C24" i="21"/>
  <c r="C23" i="21"/>
  <c r="C22" i="21"/>
  <c r="C25" i="21" s="1"/>
  <c r="C17" i="21"/>
  <c r="D24" i="21"/>
  <c r="E39" i="18" s="1"/>
  <c r="D23" i="21"/>
  <c r="E38" i="18" s="1"/>
  <c r="D22" i="21"/>
  <c r="E37" i="18" s="1"/>
  <c r="D67" i="21"/>
  <c r="E41" i="18" s="1"/>
  <c r="D68" i="21"/>
  <c r="E42" i="18" s="1"/>
  <c r="C68" i="21"/>
  <c r="C67" i="21"/>
  <c r="D54" i="21"/>
  <c r="E40" i="18" s="1"/>
  <c r="D42" i="21"/>
  <c r="D41" i="21"/>
  <c r="D40" i="21"/>
  <c r="C42" i="21"/>
  <c r="C41" i="21"/>
  <c r="C40" i="21"/>
  <c r="L29" i="33" l="1"/>
  <c r="C149" i="21"/>
  <c r="E132" i="20"/>
  <c r="G132" i="20"/>
  <c r="F132" i="20"/>
  <c r="D132" i="20"/>
  <c r="C14" i="33" l="1"/>
  <c r="L31" i="33"/>
  <c r="C16" i="33"/>
  <c r="C15" i="33"/>
  <c r="K38" i="16"/>
  <c r="L38" i="16"/>
  <c r="M38" i="16"/>
  <c r="N38" i="16"/>
  <c r="J38" i="16"/>
  <c r="K37" i="16"/>
  <c r="L37" i="16"/>
  <c r="M37" i="16"/>
  <c r="N37" i="16"/>
  <c r="J37" i="16"/>
  <c r="J39" i="16" s="1"/>
  <c r="C9" i="33" l="1"/>
  <c r="D9" i="33" s="1"/>
  <c r="E9" i="33" s="1"/>
  <c r="D15" i="33"/>
  <c r="E15" i="33" s="1"/>
  <c r="D16" i="33"/>
  <c r="E16" i="33" s="1"/>
  <c r="C10" i="33"/>
  <c r="D10" i="33" s="1"/>
  <c r="E10" i="33" s="1"/>
  <c r="C8" i="33"/>
  <c r="D8" i="33" s="1"/>
  <c r="E8" i="33" s="1"/>
  <c r="D14" i="33"/>
  <c r="E14" i="33" s="1"/>
  <c r="C17" i="33"/>
  <c r="C40" i="33" s="1"/>
  <c r="D40" i="33" s="1"/>
  <c r="E40" i="33" s="1"/>
  <c r="K39" i="16"/>
  <c r="L39" i="16" s="1"/>
  <c r="M39" i="16" s="1"/>
  <c r="N39" i="16" s="1"/>
  <c r="D32" i="27"/>
  <c r="G70" i="26" l="1"/>
  <c r="F70" i="26"/>
  <c r="D17" i="12" l="1"/>
  <c r="F36" i="25"/>
  <c r="G36" i="25" s="1"/>
  <c r="H36" i="25" s="1"/>
  <c r="I36" i="25" s="1"/>
  <c r="E54" i="21"/>
  <c r="E49" i="21"/>
  <c r="E23" i="21"/>
  <c r="E24" i="21"/>
  <c r="E22" i="21"/>
  <c r="E17" i="21"/>
  <c r="E16" i="21"/>
  <c r="E15" i="21"/>
  <c r="E14" i="16" l="1"/>
  <c r="D18" i="16"/>
  <c r="D17" i="16"/>
  <c r="D16" i="16"/>
  <c r="D15" i="16"/>
  <c r="D14" i="16"/>
  <c r="C18" i="16"/>
  <c r="C17" i="16"/>
  <c r="C16" i="16"/>
  <c r="C15" i="16"/>
  <c r="C14" i="16"/>
  <c r="B18" i="16"/>
  <c r="B17" i="16"/>
  <c r="B16" i="16"/>
  <c r="B15" i="16"/>
  <c r="B14" i="16"/>
  <c r="E25" i="16"/>
  <c r="F22" i="16" s="1"/>
  <c r="F25" i="16" s="1"/>
  <c r="E15" i="16" l="1"/>
  <c r="E16" i="16" s="1"/>
  <c r="E17" i="16" s="1"/>
  <c r="E18" i="16" s="1"/>
  <c r="D68" i="15"/>
  <c r="C68" i="15"/>
  <c r="D14" i="15"/>
  <c r="D13" i="15"/>
  <c r="D12" i="15"/>
  <c r="D11" i="15"/>
  <c r="D25" i="12"/>
  <c r="D22" i="12"/>
  <c r="D21" i="12"/>
  <c r="D20" i="12"/>
  <c r="D19" i="12"/>
  <c r="D18" i="12"/>
  <c r="G302" i="20" l="1"/>
  <c r="F302" i="20"/>
  <c r="E302" i="20"/>
  <c r="E305" i="20" s="1"/>
  <c r="G286" i="20"/>
  <c r="F286" i="20"/>
  <c r="E286" i="20"/>
  <c r="E289" i="20" s="1"/>
  <c r="F9" i="25" l="1"/>
  <c r="G9" i="25"/>
  <c r="H9" i="25"/>
  <c r="I9" i="25"/>
  <c r="E9" i="25"/>
  <c r="G271" i="20" l="1"/>
  <c r="F271" i="20"/>
  <c r="E271" i="20"/>
  <c r="D271" i="20"/>
  <c r="C271" i="20"/>
  <c r="G266" i="20"/>
  <c r="F266" i="20"/>
  <c r="E266" i="20"/>
  <c r="D266" i="20"/>
  <c r="C266" i="20"/>
  <c r="F7" i="17"/>
  <c r="G7" i="17"/>
  <c r="H7" i="17"/>
  <c r="I7" i="17"/>
  <c r="E7" i="17"/>
  <c r="G266" i="28" l="1"/>
  <c r="F266" i="28"/>
  <c r="E265" i="28"/>
  <c r="E264" i="28"/>
  <c r="E263" i="28"/>
  <c r="E262" i="28"/>
  <c r="E261" i="28"/>
  <c r="E260" i="28"/>
  <c r="G230" i="28"/>
  <c r="G227" i="28"/>
  <c r="G224" i="28"/>
  <c r="G221" i="28"/>
  <c r="G218" i="28"/>
  <c r="G211" i="28"/>
  <c r="G208" i="28"/>
  <c r="G205" i="28"/>
  <c r="G202" i="28"/>
  <c r="G199" i="28"/>
  <c r="G196" i="28"/>
  <c r="G178" i="28"/>
  <c r="G175" i="28"/>
  <c r="G157" i="28"/>
  <c r="G154" i="28"/>
  <c r="G151" i="28"/>
  <c r="G144" i="28"/>
  <c r="G141" i="28"/>
  <c r="G138" i="28"/>
  <c r="G135" i="28"/>
  <c r="G117" i="28"/>
  <c r="G80" i="28"/>
  <c r="G77" i="28"/>
  <c r="G74" i="28"/>
  <c r="G71" i="28"/>
  <c r="G68" i="28"/>
  <c r="G65" i="28"/>
  <c r="G62" i="28"/>
  <c r="G55" i="28"/>
  <c r="G52" i="28"/>
  <c r="G49" i="28"/>
  <c r="G46" i="28"/>
  <c r="G22" i="28"/>
  <c r="G19" i="28"/>
  <c r="E272" i="28" l="1"/>
  <c r="E266" i="28"/>
  <c r="D104" i="16" s="1"/>
  <c r="E268" i="28" l="1"/>
  <c r="E273" i="28" s="1"/>
  <c r="G18" i="25"/>
  <c r="H32" i="27"/>
  <c r="G32" i="27"/>
  <c r="F32" i="27"/>
  <c r="E32" i="27"/>
  <c r="F71" i="26"/>
  <c r="G68" i="26" l="1"/>
  <c r="G71" i="26" s="1"/>
  <c r="F60" i="26"/>
  <c r="E60" i="26"/>
  <c r="G59" i="26"/>
  <c r="G58" i="26"/>
  <c r="G57" i="26"/>
  <c r="G56" i="26"/>
  <c r="G55" i="26"/>
  <c r="G54" i="26"/>
  <c r="F52" i="26"/>
  <c r="E52" i="26"/>
  <c r="G50" i="26"/>
  <c r="G52" i="26" s="1"/>
  <c r="F39" i="26"/>
  <c r="E39" i="26"/>
  <c r="G38" i="26"/>
  <c r="G37" i="26"/>
  <c r="G36" i="26"/>
  <c r="G35" i="26"/>
  <c r="G34" i="26"/>
  <c r="F31" i="26"/>
  <c r="E31" i="26"/>
  <c r="G30" i="26"/>
  <c r="G29" i="26"/>
  <c r="G28" i="26"/>
  <c r="G27" i="26"/>
  <c r="G26" i="26"/>
  <c r="G25" i="26"/>
  <c r="G24" i="26"/>
  <c r="G23" i="26"/>
  <c r="G21" i="26"/>
  <c r="G20" i="26"/>
  <c r="G19" i="26"/>
  <c r="G18" i="26"/>
  <c r="J26" i="25"/>
  <c r="I26" i="25"/>
  <c r="H26" i="25"/>
  <c r="G26" i="25"/>
  <c r="F26" i="25"/>
  <c r="E26" i="25"/>
  <c r="J22" i="25"/>
  <c r="I22" i="25"/>
  <c r="H22" i="25"/>
  <c r="G22" i="25"/>
  <c r="F22" i="25"/>
  <c r="J17" i="25"/>
  <c r="I17" i="25"/>
  <c r="H17" i="25"/>
  <c r="G17" i="25"/>
  <c r="F17" i="25"/>
  <c r="E17" i="25"/>
  <c r="J12" i="25"/>
  <c r="I12" i="25"/>
  <c r="H12" i="25"/>
  <c r="G12" i="25"/>
  <c r="F12" i="25"/>
  <c r="E12" i="25"/>
  <c r="G60" i="26" l="1"/>
  <c r="G39" i="26"/>
  <c r="G31" i="26"/>
  <c r="D75" i="21" l="1"/>
  <c r="C75" i="21"/>
  <c r="D69" i="21"/>
  <c r="D76" i="21" s="1"/>
  <c r="C69" i="21"/>
  <c r="C76" i="21" s="1"/>
  <c r="G46" i="20"/>
  <c r="C59" i="16" s="1"/>
  <c r="F46" i="20"/>
  <c r="C58" i="16" s="1"/>
  <c r="E46" i="20"/>
  <c r="C57" i="16" s="1"/>
  <c r="D46" i="20"/>
  <c r="C46" i="20"/>
  <c r="G45" i="20"/>
  <c r="F45" i="20"/>
  <c r="E45" i="20"/>
  <c r="D45" i="20"/>
  <c r="E30" i="11" s="1"/>
  <c r="C45" i="20"/>
  <c r="D30" i="11" s="1"/>
  <c r="C38" i="15"/>
  <c r="E75" i="21" l="1"/>
  <c r="E31" i="11"/>
  <c r="C56" i="16"/>
  <c r="D31" i="11"/>
  <c r="C55" i="16"/>
  <c r="E76" i="21"/>
  <c r="C22" i="12"/>
  <c r="E135" i="13"/>
  <c r="E134" i="13"/>
  <c r="E133" i="13"/>
  <c r="E132" i="13"/>
  <c r="E123" i="13"/>
  <c r="E122" i="13"/>
  <c r="E121" i="13"/>
  <c r="E120" i="13"/>
  <c r="E80" i="13"/>
  <c r="E79" i="13"/>
  <c r="E78" i="13"/>
  <c r="E77" i="13"/>
  <c r="D68" i="13"/>
  <c r="E68" i="13" s="1"/>
  <c r="D66" i="13"/>
  <c r="E66" i="13" s="1"/>
  <c r="A69" i="13"/>
  <c r="A70" i="13"/>
  <c r="A71" i="13"/>
  <c r="A68" i="13"/>
  <c r="A67" i="13"/>
  <c r="A66" i="13"/>
  <c r="A65" i="13"/>
  <c r="A64" i="13"/>
  <c r="A63" i="13"/>
  <c r="A62" i="13"/>
  <c r="A61" i="13"/>
  <c r="A60" i="13"/>
  <c r="D56" i="13"/>
  <c r="E56" i="13" s="1"/>
  <c r="D54" i="13"/>
  <c r="E54" i="13" s="1"/>
  <c r="A59" i="13"/>
  <c r="A58" i="13"/>
  <c r="A57" i="13"/>
  <c r="A56" i="13"/>
  <c r="A55" i="13"/>
  <c r="A54" i="13"/>
  <c r="A53" i="13"/>
  <c r="A52" i="13"/>
  <c r="A51" i="13"/>
  <c r="C46" i="13"/>
  <c r="C51" i="13"/>
  <c r="D50" i="13"/>
  <c r="E50" i="13" s="1"/>
  <c r="D48" i="13"/>
  <c r="E48" i="13" s="1"/>
  <c r="A48" i="13"/>
  <c r="A49" i="13"/>
  <c r="A50" i="13"/>
  <c r="A47" i="13"/>
  <c r="D45" i="13"/>
  <c r="E45" i="13" s="1"/>
  <c r="D44" i="13"/>
  <c r="A45" i="13"/>
  <c r="A44" i="13"/>
  <c r="D36" i="13"/>
  <c r="D34" i="13"/>
  <c r="D30" i="13"/>
  <c r="D26" i="13"/>
  <c r="D24" i="13"/>
  <c r="E24" i="13" s="1"/>
  <c r="D22" i="13"/>
  <c r="D18" i="13"/>
  <c r="D17" i="13"/>
  <c r="D16" i="13"/>
  <c r="D13" i="13"/>
  <c r="D12" i="13"/>
  <c r="A16" i="13"/>
  <c r="A17" i="13"/>
  <c r="A18" i="13"/>
  <c r="C39" i="13"/>
  <c r="A39" i="13"/>
  <c r="A34" i="13"/>
  <c r="A35" i="13"/>
  <c r="A36" i="13"/>
  <c r="A37" i="13"/>
  <c r="A38" i="13"/>
  <c r="A33" i="13"/>
  <c r="A32" i="13"/>
  <c r="A31" i="13"/>
  <c r="A30" i="13"/>
  <c r="A29" i="13"/>
  <c r="A28" i="13"/>
  <c r="A25" i="13"/>
  <c r="A26" i="13"/>
  <c r="A27" i="13"/>
  <c r="C22" i="13"/>
  <c r="C27" i="13" s="1"/>
  <c r="A13" i="13"/>
  <c r="A14" i="13"/>
  <c r="A15" i="13"/>
  <c r="A19" i="13"/>
  <c r="A20" i="13"/>
  <c r="A22" i="13"/>
  <c r="A23" i="13"/>
  <c r="A24" i="13"/>
  <c r="A12" i="13"/>
  <c r="G234" i="20"/>
  <c r="F234" i="20"/>
  <c r="E234" i="20"/>
  <c r="D234" i="20"/>
  <c r="C234" i="20"/>
  <c r="C17" i="13"/>
  <c r="C13" i="13"/>
  <c r="C12" i="13"/>
  <c r="F42" i="18"/>
  <c r="F41" i="18"/>
  <c r="D42" i="18"/>
  <c r="D41" i="18"/>
  <c r="C42" i="18"/>
  <c r="C41" i="18"/>
  <c r="D40" i="18"/>
  <c r="C40" i="18"/>
  <c r="D39" i="18"/>
  <c r="C39" i="18"/>
  <c r="D38" i="18"/>
  <c r="C38" i="18"/>
  <c r="D37" i="18"/>
  <c r="C37" i="18"/>
  <c r="C52" i="13" l="1"/>
  <c r="D46" i="13"/>
  <c r="E44" i="13"/>
  <c r="E46" i="13" s="1"/>
  <c r="E13" i="13"/>
  <c r="E22" i="13"/>
  <c r="E16" i="13"/>
  <c r="C19" i="13"/>
  <c r="E18" i="13"/>
  <c r="D14" i="13"/>
  <c r="C14" i="13"/>
  <c r="I17" i="17"/>
  <c r="H17" i="17"/>
  <c r="G17" i="17"/>
  <c r="F17" i="17"/>
  <c r="E17" i="17"/>
  <c r="I15" i="17"/>
  <c r="H15" i="17"/>
  <c r="G15" i="17"/>
  <c r="F15" i="17"/>
  <c r="E15" i="17"/>
  <c r="I14" i="17"/>
  <c r="H14" i="17"/>
  <c r="G14" i="17"/>
  <c r="F14" i="17"/>
  <c r="E14" i="17"/>
  <c r="D38" i="15"/>
  <c r="D37" i="15"/>
  <c r="C37" i="15"/>
  <c r="D31" i="15"/>
  <c r="D30" i="15"/>
  <c r="C31" i="15"/>
  <c r="C30" i="15"/>
  <c r="D26" i="15"/>
  <c r="D25" i="15"/>
  <c r="D24" i="15"/>
  <c r="C26" i="15"/>
  <c r="C25" i="15"/>
  <c r="C24" i="15"/>
  <c r="D19" i="15"/>
  <c r="D18" i="15"/>
  <c r="C19" i="15"/>
  <c r="C18" i="15"/>
  <c r="C14" i="15"/>
  <c r="C12" i="15"/>
  <c r="C13" i="15"/>
  <c r="C11" i="15"/>
  <c r="E12" i="13"/>
  <c r="K167" i="23"/>
  <c r="J167" i="23"/>
  <c r="I167" i="23"/>
  <c r="H167" i="23"/>
  <c r="G167" i="23"/>
  <c r="F167" i="23"/>
  <c r="E167" i="23"/>
  <c r="D167" i="23"/>
  <c r="C167" i="23"/>
  <c r="D78" i="12"/>
  <c r="C78" i="12"/>
  <c r="D57" i="12"/>
  <c r="D59" i="12"/>
  <c r="C59" i="12"/>
  <c r="D52" i="20"/>
  <c r="D53" i="20" s="1"/>
  <c r="C52" i="20"/>
  <c r="C53" i="20" s="1"/>
  <c r="C57" i="12"/>
  <c r="D35" i="12"/>
  <c r="D34" i="12"/>
  <c r="D33" i="12"/>
  <c r="C35" i="12"/>
  <c r="C34" i="12"/>
  <c r="C33" i="12"/>
  <c r="D103" i="11"/>
  <c r="D106" i="11" s="1"/>
  <c r="F15" i="11"/>
  <c r="F13" i="11"/>
  <c r="D45" i="12"/>
  <c r="C45" i="12"/>
  <c r="D42" i="12"/>
  <c r="D41" i="12"/>
  <c r="D40" i="12"/>
  <c r="C42" i="12"/>
  <c r="C41" i="12"/>
  <c r="C40" i="12"/>
  <c r="D36" i="12"/>
  <c r="D32" i="12"/>
  <c r="D31" i="12"/>
  <c r="C36" i="12"/>
  <c r="C32" i="12"/>
  <c r="C31" i="12"/>
  <c r="C25" i="12"/>
  <c r="C21" i="12"/>
  <c r="C20" i="12"/>
  <c r="C19" i="12"/>
  <c r="C18" i="12"/>
  <c r="E18" i="12" s="1"/>
  <c r="C17" i="12"/>
  <c r="G189" i="20"/>
  <c r="F189" i="20"/>
  <c r="E189" i="20"/>
  <c r="D189" i="20"/>
  <c r="D26" i="12" s="1"/>
  <c r="C189" i="20"/>
  <c r="C26" i="12" s="1"/>
  <c r="G53" i="20"/>
  <c r="I19" i="17" s="1"/>
  <c r="F53" i="20"/>
  <c r="H19" i="17" s="1"/>
  <c r="E53" i="20"/>
  <c r="G19" i="17" s="1"/>
  <c r="E78" i="11"/>
  <c r="E77" i="11"/>
  <c r="E76" i="11"/>
  <c r="E75" i="11"/>
  <c r="E74" i="11"/>
  <c r="E73" i="11"/>
  <c r="D78" i="11"/>
  <c r="D77" i="11"/>
  <c r="D76" i="11"/>
  <c r="D75" i="11"/>
  <c r="D74" i="11"/>
  <c r="D73" i="11"/>
  <c r="E32" i="11"/>
  <c r="E29" i="11"/>
  <c r="D32" i="11"/>
  <c r="D29" i="11"/>
  <c r="E27" i="11"/>
  <c r="E28" i="11"/>
  <c r="D27" i="11"/>
  <c r="D28" i="11"/>
  <c r="E26" i="11"/>
  <c r="D26" i="11"/>
  <c r="F19" i="17" l="1"/>
  <c r="E10" i="11"/>
  <c r="E19" i="17"/>
  <c r="D10" i="11"/>
  <c r="E33" i="11"/>
  <c r="E14" i="13"/>
  <c r="E33" i="12"/>
  <c r="E34" i="12"/>
  <c r="E35" i="12"/>
  <c r="C20" i="13"/>
  <c r="C40" i="13" s="1"/>
  <c r="D33" i="11"/>
  <c r="E59" i="12"/>
  <c r="D83" i="12" l="1"/>
  <c r="C83" i="12"/>
  <c r="K252" i="23" l="1"/>
  <c r="J252" i="23"/>
  <c r="I252" i="23"/>
  <c r="H252" i="23"/>
  <c r="G252" i="23"/>
  <c r="F252" i="23"/>
  <c r="E252" i="23"/>
  <c r="D252" i="23"/>
  <c r="C252" i="23"/>
  <c r="D38" i="13" s="1"/>
  <c r="K248" i="23"/>
  <c r="J248" i="23"/>
  <c r="I248" i="23"/>
  <c r="H248" i="23"/>
  <c r="G248" i="23"/>
  <c r="F248" i="23"/>
  <c r="E248" i="23"/>
  <c r="D248" i="23"/>
  <c r="C248" i="23"/>
  <c r="D37" i="13" s="1"/>
  <c r="K242" i="23"/>
  <c r="J242" i="23"/>
  <c r="I242" i="23"/>
  <c r="H242" i="23"/>
  <c r="G242" i="23"/>
  <c r="F242" i="23"/>
  <c r="E242" i="23"/>
  <c r="D242" i="23"/>
  <c r="C242" i="23"/>
  <c r="D35" i="13" s="1"/>
  <c r="K236" i="23"/>
  <c r="J236" i="23"/>
  <c r="I236" i="23"/>
  <c r="H236" i="23"/>
  <c r="G236" i="23"/>
  <c r="F236" i="23"/>
  <c r="E236" i="23"/>
  <c r="D236" i="23"/>
  <c r="C236" i="23"/>
  <c r="D33" i="13" s="1"/>
  <c r="K228" i="23"/>
  <c r="J228" i="23"/>
  <c r="I228" i="23"/>
  <c r="H228" i="23"/>
  <c r="G228" i="23"/>
  <c r="F228" i="23"/>
  <c r="E228" i="23"/>
  <c r="D228" i="23"/>
  <c r="C228" i="23"/>
  <c r="D32" i="13" s="1"/>
  <c r="K222" i="23"/>
  <c r="J222" i="23"/>
  <c r="I222" i="23"/>
  <c r="H222" i="23"/>
  <c r="G222" i="23"/>
  <c r="F222" i="23"/>
  <c r="E222" i="23"/>
  <c r="D222" i="23"/>
  <c r="C222" i="23"/>
  <c r="D31" i="13" s="1"/>
  <c r="K215" i="23"/>
  <c r="J215" i="23"/>
  <c r="I215" i="23"/>
  <c r="H215" i="23"/>
  <c r="G215" i="23"/>
  <c r="F215" i="23"/>
  <c r="E215" i="23"/>
  <c r="D215" i="23"/>
  <c r="C215" i="23"/>
  <c r="D29" i="13" s="1"/>
  <c r="K202" i="23"/>
  <c r="J202" i="23"/>
  <c r="I202" i="23"/>
  <c r="H202" i="23"/>
  <c r="G202" i="23"/>
  <c r="F202" i="23"/>
  <c r="E202" i="23"/>
  <c r="D202" i="23"/>
  <c r="C202" i="23"/>
  <c r="K191" i="23"/>
  <c r="J191" i="23"/>
  <c r="I191" i="23"/>
  <c r="H191" i="23"/>
  <c r="G191" i="23"/>
  <c r="F191" i="23"/>
  <c r="E191" i="23"/>
  <c r="D191" i="23"/>
  <c r="C191" i="23"/>
  <c r="D23" i="13" s="1"/>
  <c r="E176" i="23"/>
  <c r="E184" i="23" s="1"/>
  <c r="K176" i="23"/>
  <c r="K184" i="23" s="1"/>
  <c r="J176" i="23"/>
  <c r="J184" i="23" s="1"/>
  <c r="I176" i="23"/>
  <c r="I184" i="23" s="1"/>
  <c r="H176" i="23"/>
  <c r="H184" i="23" s="1"/>
  <c r="G176" i="23"/>
  <c r="G184" i="23" s="1"/>
  <c r="F176" i="23"/>
  <c r="F184" i="23" s="1"/>
  <c r="D176" i="23"/>
  <c r="D184" i="23" s="1"/>
  <c r="C176" i="23"/>
  <c r="K149" i="23"/>
  <c r="J149" i="23"/>
  <c r="I149" i="23"/>
  <c r="H149" i="23"/>
  <c r="G149" i="23"/>
  <c r="F149" i="23"/>
  <c r="E149" i="23"/>
  <c r="D149" i="23"/>
  <c r="C149" i="23"/>
  <c r="D70" i="13" s="1"/>
  <c r="E70" i="13" s="1"/>
  <c r="K145" i="23"/>
  <c r="J145" i="23"/>
  <c r="I145" i="23"/>
  <c r="H145" i="23"/>
  <c r="G145" i="23"/>
  <c r="F145" i="23"/>
  <c r="E145" i="23"/>
  <c r="D145" i="23"/>
  <c r="C145" i="23"/>
  <c r="D69" i="13" s="1"/>
  <c r="E69" i="13" s="1"/>
  <c r="K135" i="23"/>
  <c r="J135" i="23"/>
  <c r="I135" i="23"/>
  <c r="H135" i="23"/>
  <c r="G135" i="23"/>
  <c r="F135" i="23"/>
  <c r="E135" i="23"/>
  <c r="D135" i="23"/>
  <c r="C135" i="23"/>
  <c r="D67" i="13" s="1"/>
  <c r="E67" i="13" s="1"/>
  <c r="K126" i="23"/>
  <c r="J126" i="23"/>
  <c r="I126" i="23"/>
  <c r="H126" i="23"/>
  <c r="G126" i="23"/>
  <c r="F126" i="23"/>
  <c r="E126" i="23"/>
  <c r="D126" i="23"/>
  <c r="C126" i="23"/>
  <c r="D65" i="13" s="1"/>
  <c r="E65" i="13" s="1"/>
  <c r="K120" i="23"/>
  <c r="J120" i="23"/>
  <c r="I120" i="23"/>
  <c r="H120" i="23"/>
  <c r="G120" i="23"/>
  <c r="F120" i="23"/>
  <c r="E120" i="23"/>
  <c r="D120" i="23"/>
  <c r="C120" i="23"/>
  <c r="D64" i="13" s="1"/>
  <c r="E64" i="13" s="1"/>
  <c r="K111" i="23"/>
  <c r="J111" i="23"/>
  <c r="I111" i="23"/>
  <c r="H111" i="23"/>
  <c r="G111" i="23"/>
  <c r="F111" i="23"/>
  <c r="E111" i="23"/>
  <c r="D111" i="23"/>
  <c r="C111" i="23"/>
  <c r="D63" i="13" s="1"/>
  <c r="E63" i="13" s="1"/>
  <c r="K99" i="23"/>
  <c r="J99" i="23"/>
  <c r="I99" i="23"/>
  <c r="H99" i="23"/>
  <c r="G99" i="23"/>
  <c r="F99" i="23"/>
  <c r="E99" i="23"/>
  <c r="D99" i="23"/>
  <c r="C99" i="23"/>
  <c r="D62" i="13" s="1"/>
  <c r="E62" i="13" s="1"/>
  <c r="K95" i="23"/>
  <c r="J95" i="23"/>
  <c r="I95" i="23"/>
  <c r="H95" i="23"/>
  <c r="G95" i="23"/>
  <c r="F95" i="23"/>
  <c r="E95" i="23"/>
  <c r="D95" i="23"/>
  <c r="C95" i="23"/>
  <c r="D61" i="13" s="1"/>
  <c r="E61" i="13" s="1"/>
  <c r="K67" i="23"/>
  <c r="J67" i="23"/>
  <c r="I67" i="23"/>
  <c r="H67" i="23"/>
  <c r="G67" i="23"/>
  <c r="F67" i="23"/>
  <c r="E67" i="23"/>
  <c r="D67" i="23"/>
  <c r="C67" i="23"/>
  <c r="D58" i="13" s="1"/>
  <c r="E58" i="13" s="1"/>
  <c r="K63" i="23"/>
  <c r="J63" i="23"/>
  <c r="I63" i="23"/>
  <c r="H63" i="23"/>
  <c r="G63" i="23"/>
  <c r="F63" i="23"/>
  <c r="E63" i="23"/>
  <c r="D63" i="23"/>
  <c r="C63" i="23"/>
  <c r="K54" i="23"/>
  <c r="J54" i="23"/>
  <c r="I54" i="23"/>
  <c r="H54" i="23"/>
  <c r="G54" i="23"/>
  <c r="F54" i="23"/>
  <c r="E54" i="23"/>
  <c r="D54" i="23"/>
  <c r="C54" i="23"/>
  <c r="D55" i="13" s="1"/>
  <c r="K38" i="23"/>
  <c r="J38" i="23"/>
  <c r="I38" i="23"/>
  <c r="H38" i="23"/>
  <c r="G38" i="23"/>
  <c r="F38" i="23"/>
  <c r="E38" i="23"/>
  <c r="D38" i="23"/>
  <c r="C38" i="23"/>
  <c r="K32" i="23"/>
  <c r="J32" i="23"/>
  <c r="I32" i="23"/>
  <c r="H32" i="23"/>
  <c r="G32" i="23"/>
  <c r="F32" i="23"/>
  <c r="E32" i="23"/>
  <c r="D32" i="23"/>
  <c r="C32" i="23"/>
  <c r="D47" i="13" s="1"/>
  <c r="E81" i="12"/>
  <c r="D85" i="12"/>
  <c r="C85" i="12"/>
  <c r="E42" i="23" l="1"/>
  <c r="E264" i="23" s="1"/>
  <c r="I42" i="23"/>
  <c r="E206" i="23"/>
  <c r="I206" i="23"/>
  <c r="F206" i="23"/>
  <c r="J206" i="23"/>
  <c r="E17" i="13"/>
  <c r="D49" i="13"/>
  <c r="E49" i="13" s="1"/>
  <c r="E47" i="13"/>
  <c r="E71" i="13"/>
  <c r="D206" i="23"/>
  <c r="H206" i="23"/>
  <c r="D39" i="13"/>
  <c r="E55" i="13"/>
  <c r="D57" i="13"/>
  <c r="E57" i="13" s="1"/>
  <c r="D25" i="13"/>
  <c r="E25" i="13" s="1"/>
  <c r="C206" i="23"/>
  <c r="G206" i="23"/>
  <c r="K206" i="23"/>
  <c r="G42" i="23"/>
  <c r="G264" i="23" s="1"/>
  <c r="K42" i="23"/>
  <c r="K264" i="23" s="1"/>
  <c r="E23" i="13"/>
  <c r="E69" i="23"/>
  <c r="F69" i="23"/>
  <c r="J69" i="23"/>
  <c r="G69" i="23"/>
  <c r="E26" i="13"/>
  <c r="C69" i="23"/>
  <c r="K69" i="23"/>
  <c r="D69" i="23"/>
  <c r="H69" i="23"/>
  <c r="C184" i="23"/>
  <c r="D15" i="13"/>
  <c r="I69" i="23"/>
  <c r="C42" i="23"/>
  <c r="F42" i="23"/>
  <c r="F264" i="23" s="1"/>
  <c r="J42" i="23"/>
  <c r="J264" i="23" s="1"/>
  <c r="D42" i="23"/>
  <c r="H42" i="23"/>
  <c r="H264" i="23" s="1"/>
  <c r="E254" i="23"/>
  <c r="I254" i="23"/>
  <c r="I256" i="23" s="1"/>
  <c r="D117" i="13" s="1"/>
  <c r="E117" i="13" s="1"/>
  <c r="F254" i="23"/>
  <c r="J254" i="23"/>
  <c r="J256" i="23" s="1"/>
  <c r="D254" i="23"/>
  <c r="H254" i="23"/>
  <c r="H256" i="23" s="1"/>
  <c r="D116" i="13" s="1"/>
  <c r="E116" i="13" s="1"/>
  <c r="C254" i="23"/>
  <c r="G254" i="23"/>
  <c r="G256" i="23" s="1"/>
  <c r="K254" i="23"/>
  <c r="H265" i="23"/>
  <c r="D151" i="23"/>
  <c r="H151" i="23"/>
  <c r="C151" i="23"/>
  <c r="C266" i="23" s="1"/>
  <c r="G151" i="23"/>
  <c r="K151" i="23"/>
  <c r="F151" i="23"/>
  <c r="J151" i="23"/>
  <c r="E151" i="23"/>
  <c r="I151" i="23"/>
  <c r="D264" i="23"/>
  <c r="I264" i="23"/>
  <c r="D265" i="23"/>
  <c r="D119" i="11"/>
  <c r="D122" i="11" s="1"/>
  <c r="K256" i="23" l="1"/>
  <c r="D118" i="13" s="1"/>
  <c r="E118" i="13" s="1"/>
  <c r="E124" i="13" s="1"/>
  <c r="D256" i="23"/>
  <c r="E256" i="23"/>
  <c r="F256" i="23"/>
  <c r="D59" i="13"/>
  <c r="E59" i="13"/>
  <c r="C256" i="23"/>
  <c r="E51" i="13"/>
  <c r="E52" i="13" s="1"/>
  <c r="H266" i="23"/>
  <c r="D51" i="13"/>
  <c r="D52" i="13" s="1"/>
  <c r="D27" i="13"/>
  <c r="E27" i="13"/>
  <c r="D19" i="13"/>
  <c r="D20" i="13" s="1"/>
  <c r="E15" i="13"/>
  <c r="E19" i="13" s="1"/>
  <c r="E20" i="13" s="1"/>
  <c r="I265" i="23"/>
  <c r="E265" i="23"/>
  <c r="I266" i="23"/>
  <c r="F265" i="23"/>
  <c r="C265" i="23"/>
  <c r="J266" i="23"/>
  <c r="H267" i="23"/>
  <c r="F266" i="23"/>
  <c r="K265" i="23"/>
  <c r="K266" i="23"/>
  <c r="D266" i="23"/>
  <c r="D267" i="23" s="1"/>
  <c r="J265" i="23"/>
  <c r="G265" i="23"/>
  <c r="E266" i="23"/>
  <c r="G266" i="23"/>
  <c r="J153" i="23"/>
  <c r="I153" i="23"/>
  <c r="D129" i="13" s="1"/>
  <c r="E129" i="13" s="1"/>
  <c r="K153" i="23"/>
  <c r="D130" i="13" s="1"/>
  <c r="E130" i="13" s="1"/>
  <c r="H153" i="23"/>
  <c r="D128" i="13" s="1"/>
  <c r="E128" i="13" s="1"/>
  <c r="D153" i="23"/>
  <c r="F153" i="23"/>
  <c r="E153" i="23"/>
  <c r="G153" i="23"/>
  <c r="E156" i="20"/>
  <c r="G111" i="20"/>
  <c r="I16" i="17" s="1"/>
  <c r="F111" i="20"/>
  <c r="H16" i="17" s="1"/>
  <c r="E111" i="20"/>
  <c r="G16" i="17" s="1"/>
  <c r="D111" i="20"/>
  <c r="F16" i="17" s="1"/>
  <c r="C111" i="20"/>
  <c r="E16" i="17" s="1"/>
  <c r="P91" i="13"/>
  <c r="P96" i="13"/>
  <c r="P106" i="13"/>
  <c r="P112" i="13"/>
  <c r="P117" i="13"/>
  <c r="P127" i="13"/>
  <c r="E164" i="20"/>
  <c r="F164" i="20"/>
  <c r="G164" i="20"/>
  <c r="D164" i="20"/>
  <c r="F156" i="20"/>
  <c r="G156" i="20"/>
  <c r="D156" i="20"/>
  <c r="E148" i="20"/>
  <c r="F148" i="20"/>
  <c r="G148" i="20"/>
  <c r="D148" i="20"/>
  <c r="E140" i="20"/>
  <c r="F140" i="20"/>
  <c r="G140" i="20"/>
  <c r="D140" i="20"/>
  <c r="C136" i="13"/>
  <c r="C124" i="13"/>
  <c r="C74" i="21"/>
  <c r="D25" i="21"/>
  <c r="D33" i="21"/>
  <c r="C43" i="21"/>
  <c r="D43" i="21"/>
  <c r="C62" i="20"/>
  <c r="D11" i="11" s="1"/>
  <c r="D62" i="20"/>
  <c r="E11" i="11" s="1"/>
  <c r="E12" i="11" s="1"/>
  <c r="E16" i="11" s="1"/>
  <c r="E62" i="20"/>
  <c r="F62" i="20"/>
  <c r="F64" i="20" s="1"/>
  <c r="B106" i="16" s="1"/>
  <c r="G62" i="20"/>
  <c r="C89" i="20"/>
  <c r="C64" i="15" s="1"/>
  <c r="D89" i="20"/>
  <c r="D64" i="15" s="1"/>
  <c r="E89" i="20"/>
  <c r="F89" i="20"/>
  <c r="G89" i="20"/>
  <c r="C97" i="20"/>
  <c r="D97" i="20"/>
  <c r="E97" i="20"/>
  <c r="F97" i="20"/>
  <c r="G97" i="20"/>
  <c r="C106" i="20"/>
  <c r="C65" i="15" s="1"/>
  <c r="D106" i="20"/>
  <c r="D65" i="15" s="1"/>
  <c r="E106" i="20"/>
  <c r="F106" i="20"/>
  <c r="G106" i="20"/>
  <c r="C118" i="20"/>
  <c r="D118" i="20"/>
  <c r="E118" i="20"/>
  <c r="F118" i="20"/>
  <c r="G118" i="20"/>
  <c r="C192" i="20"/>
  <c r="D33" i="27" s="1"/>
  <c r="D192" i="20"/>
  <c r="E33" i="27" s="1"/>
  <c r="E192" i="20"/>
  <c r="F33" i="27" s="1"/>
  <c r="F192" i="20"/>
  <c r="G33" i="27" s="1"/>
  <c r="G192" i="20"/>
  <c r="H33" i="27" s="1"/>
  <c r="C201" i="20"/>
  <c r="D201" i="20"/>
  <c r="E201" i="20"/>
  <c r="F201" i="20"/>
  <c r="G201" i="20"/>
  <c r="C207" i="20"/>
  <c r="D207" i="20"/>
  <c r="E207" i="20"/>
  <c r="F207" i="20"/>
  <c r="G207" i="20"/>
  <c r="C221" i="20"/>
  <c r="D221" i="20"/>
  <c r="E221" i="20"/>
  <c r="F221" i="20"/>
  <c r="G221" i="20"/>
  <c r="C226" i="20"/>
  <c r="D226" i="20"/>
  <c r="E226" i="20"/>
  <c r="F226" i="20"/>
  <c r="G226" i="20"/>
  <c r="C246" i="20"/>
  <c r="D246" i="20"/>
  <c r="E246" i="20"/>
  <c r="F246" i="20"/>
  <c r="G246" i="20"/>
  <c r="C254" i="20"/>
  <c r="D254" i="20"/>
  <c r="E254" i="20"/>
  <c r="F254" i="20"/>
  <c r="G254" i="20"/>
  <c r="E11" i="15"/>
  <c r="E12" i="15"/>
  <c r="E13" i="15"/>
  <c r="E14" i="15"/>
  <c r="C15" i="15"/>
  <c r="D15" i="15"/>
  <c r="E18" i="15"/>
  <c r="E19" i="15"/>
  <c r="C20" i="15"/>
  <c r="D20" i="15"/>
  <c r="E24" i="15"/>
  <c r="E25" i="15"/>
  <c r="E26" i="15"/>
  <c r="C27" i="15"/>
  <c r="D27" i="15"/>
  <c r="E30" i="15"/>
  <c r="E31" i="15"/>
  <c r="C32" i="15"/>
  <c r="D32" i="15"/>
  <c r="D33" i="15" s="1"/>
  <c r="E37" i="15"/>
  <c r="E38" i="15"/>
  <c r="C39" i="15"/>
  <c r="D39" i="15"/>
  <c r="E64" i="15"/>
  <c r="E68" i="15"/>
  <c r="E69" i="15"/>
  <c r="E39" i="13"/>
  <c r="C59" i="13"/>
  <c r="C71" i="13"/>
  <c r="D71" i="13"/>
  <c r="C81" i="13"/>
  <c r="D81" i="13"/>
  <c r="E81" i="13"/>
  <c r="J139" i="13"/>
  <c r="J141" i="13"/>
  <c r="J142" i="13"/>
  <c r="J143" i="13"/>
  <c r="J144" i="13"/>
  <c r="E17" i="12"/>
  <c r="E19" i="12"/>
  <c r="E20" i="12"/>
  <c r="E21" i="12"/>
  <c r="E22" i="12"/>
  <c r="C23" i="12"/>
  <c r="D23" i="12"/>
  <c r="E25" i="12"/>
  <c r="E26" i="12"/>
  <c r="C27" i="12"/>
  <c r="D27" i="12"/>
  <c r="E31" i="12"/>
  <c r="E32" i="12"/>
  <c r="E36" i="12"/>
  <c r="C37" i="12"/>
  <c r="D37" i="12"/>
  <c r="E40" i="12"/>
  <c r="E41" i="12"/>
  <c r="E42" i="12"/>
  <c r="C43" i="12"/>
  <c r="D43" i="12"/>
  <c r="E45" i="12"/>
  <c r="E57" i="12"/>
  <c r="E58" i="12"/>
  <c r="E78" i="12"/>
  <c r="E80" i="12"/>
  <c r="E84" i="12"/>
  <c r="F10" i="11"/>
  <c r="F14" i="11"/>
  <c r="F26" i="11"/>
  <c r="F27" i="11"/>
  <c r="I27" i="11" s="1"/>
  <c r="F28" i="11"/>
  <c r="I28" i="11" s="1"/>
  <c r="F29" i="11"/>
  <c r="I29" i="11" s="1"/>
  <c r="F30" i="11"/>
  <c r="I30" i="11" s="1"/>
  <c r="F31" i="11"/>
  <c r="I31" i="11" s="1"/>
  <c r="F32" i="11"/>
  <c r="I32" i="11" s="1"/>
  <c r="F33" i="11"/>
  <c r="I33" i="11" s="1"/>
  <c r="D34" i="11"/>
  <c r="E34" i="11"/>
  <c r="F73" i="11"/>
  <c r="H84" i="11" s="1"/>
  <c r="F74" i="11"/>
  <c r="H135" i="11" s="1"/>
  <c r="F75" i="11"/>
  <c r="H143" i="11" s="1"/>
  <c r="F76" i="11"/>
  <c r="H146" i="11" s="1"/>
  <c r="F77" i="11"/>
  <c r="H149" i="11" s="1"/>
  <c r="F78" i="11"/>
  <c r="H152" i="11" s="1"/>
  <c r="D79" i="11"/>
  <c r="E79" i="11"/>
  <c r="E103" i="11"/>
  <c r="F103" i="11"/>
  <c r="E119" i="11"/>
  <c r="F119" i="11"/>
  <c r="D66" i="15" l="1"/>
  <c r="D71" i="15" s="1"/>
  <c r="M31" i="13"/>
  <c r="H38" i="11"/>
  <c r="I26" i="11"/>
  <c r="E72" i="13"/>
  <c r="D124" i="13"/>
  <c r="C33" i="15"/>
  <c r="D21" i="15"/>
  <c r="E65" i="15"/>
  <c r="C66" i="15"/>
  <c r="C71" i="15" s="1"/>
  <c r="D74" i="21"/>
  <c r="E25" i="21"/>
  <c r="F11" i="11"/>
  <c r="D12" i="11"/>
  <c r="D16" i="11" s="1"/>
  <c r="J27" i="25"/>
  <c r="B59" i="16"/>
  <c r="F27" i="25"/>
  <c r="B55" i="16"/>
  <c r="I27" i="25"/>
  <c r="B58" i="16"/>
  <c r="G27" i="25"/>
  <c r="B56" i="16"/>
  <c r="H27" i="25"/>
  <c r="B57" i="16"/>
  <c r="C137" i="13"/>
  <c r="E66" i="15"/>
  <c r="E71" i="15" s="1"/>
  <c r="D28" i="12"/>
  <c r="D44" i="12" s="1"/>
  <c r="D46" i="12" s="1"/>
  <c r="G31" i="27"/>
  <c r="C106" i="16" s="1"/>
  <c r="G30" i="27"/>
  <c r="H39" i="25"/>
  <c r="G39" i="25"/>
  <c r="J39" i="25"/>
  <c r="F39" i="25"/>
  <c r="I39" i="25"/>
  <c r="E136" i="13"/>
  <c r="E137" i="13" s="1"/>
  <c r="M30" i="13"/>
  <c r="D136" i="13"/>
  <c r="E40" i="13"/>
  <c r="D60" i="12"/>
  <c r="E60" i="12" s="1"/>
  <c r="D40" i="13"/>
  <c r="H11" i="17"/>
  <c r="G11" i="17"/>
  <c r="F71" i="20"/>
  <c r="F11" i="17"/>
  <c r="I11" i="17"/>
  <c r="E11" i="17"/>
  <c r="E20" i="15"/>
  <c r="E39" i="15"/>
  <c r="E32" i="15"/>
  <c r="E27" i="15"/>
  <c r="E15" i="15"/>
  <c r="E21" i="15" s="1"/>
  <c r="C21" i="15"/>
  <c r="C72" i="13"/>
  <c r="C28" i="12"/>
  <c r="C44" i="12" s="1"/>
  <c r="C46" i="12" s="1"/>
  <c r="I267" i="23"/>
  <c r="E267" i="23"/>
  <c r="J267" i="23"/>
  <c r="G267" i="23"/>
  <c r="K267" i="23"/>
  <c r="F267" i="23"/>
  <c r="D227" i="20"/>
  <c r="D247" i="20" s="1"/>
  <c r="E34" i="27" s="1"/>
  <c r="D72" i="13"/>
  <c r="C264" i="23"/>
  <c r="C267" i="23" s="1"/>
  <c r="E43" i="12"/>
  <c r="F66" i="12" s="1"/>
  <c r="E37" i="12"/>
  <c r="F63" i="12" s="1"/>
  <c r="E23" i="12"/>
  <c r="E83" i="12"/>
  <c r="E85" i="12" s="1"/>
  <c r="E27" i="12"/>
  <c r="F12" i="11"/>
  <c r="F16" i="11" s="1"/>
  <c r="F79" i="11"/>
  <c r="F34" i="11"/>
  <c r="I34" i="11" s="1"/>
  <c r="D34" i="15"/>
  <c r="M32" i="13"/>
  <c r="C208" i="20"/>
  <c r="C210" i="20" s="1"/>
  <c r="D112" i="20"/>
  <c r="G112" i="20"/>
  <c r="F227" i="20"/>
  <c r="F247" i="20" s="1"/>
  <c r="G34" i="27" s="1"/>
  <c r="E98" i="20"/>
  <c r="C227" i="20"/>
  <c r="C247" i="20" s="1"/>
  <c r="D34" i="27" s="1"/>
  <c r="F98" i="20"/>
  <c r="G98" i="20"/>
  <c r="D98" i="20"/>
  <c r="E64" i="20"/>
  <c r="B105" i="16" s="1"/>
  <c r="F112" i="20"/>
  <c r="G64" i="20"/>
  <c r="B107" i="16" s="1"/>
  <c r="C64" i="20"/>
  <c r="E112" i="20"/>
  <c r="E227" i="20"/>
  <c r="E247" i="20" s="1"/>
  <c r="F34" i="27" s="1"/>
  <c r="G227" i="20"/>
  <c r="G247" i="20" s="1"/>
  <c r="H34" i="27" s="1"/>
  <c r="E208" i="20"/>
  <c r="E210" i="20" s="1"/>
  <c r="F208" i="20"/>
  <c r="F210" i="20" s="1"/>
  <c r="G208" i="20"/>
  <c r="G210" i="20" s="1"/>
  <c r="D208" i="20"/>
  <c r="D210" i="20" s="1"/>
  <c r="C112" i="20"/>
  <c r="D64" i="20"/>
  <c r="C98" i="20"/>
  <c r="E74" i="13" l="1"/>
  <c r="D137" i="13"/>
  <c r="C34" i="15"/>
  <c r="C151" i="21"/>
  <c r="D79" i="21"/>
  <c r="I79" i="21" s="1"/>
  <c r="E74" i="21"/>
  <c r="B103" i="16"/>
  <c r="D31" i="27"/>
  <c r="B104" i="16"/>
  <c r="E31" i="27"/>
  <c r="D30" i="27"/>
  <c r="E30" i="27"/>
  <c r="H30" i="27"/>
  <c r="H31" i="27"/>
  <c r="C107" i="16" s="1"/>
  <c r="F31" i="27"/>
  <c r="C105" i="16" s="1"/>
  <c r="F30" i="27"/>
  <c r="I13" i="25"/>
  <c r="D74" i="13"/>
  <c r="C74" i="13"/>
  <c r="D71" i="20"/>
  <c r="D56" i="12"/>
  <c r="D61" i="12" s="1"/>
  <c r="E71" i="20"/>
  <c r="G71" i="20"/>
  <c r="E33" i="15"/>
  <c r="E34" i="15" s="1"/>
  <c r="C71" i="20"/>
  <c r="C56" i="12"/>
  <c r="E28" i="12"/>
  <c r="F48" i="12" s="1"/>
  <c r="F113" i="20"/>
  <c r="E113" i="20"/>
  <c r="C153" i="23"/>
  <c r="E44" i="12"/>
  <c r="E46" i="12" s="1"/>
  <c r="F69" i="12" s="1"/>
  <c r="G113" i="20"/>
  <c r="D113" i="20"/>
  <c r="C113" i="20"/>
  <c r="F9" i="17" l="1"/>
  <c r="C104" i="16"/>
  <c r="E9" i="17"/>
  <c r="C103" i="16"/>
  <c r="F13" i="25"/>
  <c r="J13" i="25"/>
  <c r="H13" i="25"/>
  <c r="G13" i="25"/>
  <c r="E56" i="12"/>
  <c r="E61" i="12" s="1"/>
  <c r="I61" i="12" s="1"/>
  <c r="C61" i="12"/>
  <c r="E78" i="21"/>
  <c r="C79" i="21"/>
  <c r="H79" i="21" s="1"/>
  <c r="E79" i="21" l="1"/>
</calcChain>
</file>

<file path=xl/sharedStrings.xml><?xml version="1.0" encoding="utf-8"?>
<sst xmlns="http://schemas.openxmlformats.org/spreadsheetml/2006/main" count="2581" uniqueCount="1421">
  <si>
    <t>Works carried forward</t>
  </si>
  <si>
    <t>Total works carried forward</t>
  </si>
  <si>
    <t>New works</t>
  </si>
  <si>
    <t>for the year</t>
  </si>
  <si>
    <t>Other comprehensive income</t>
  </si>
  <si>
    <t>Aged &amp; Disability Services</t>
  </si>
  <si>
    <t>Valuation Services</t>
  </si>
  <si>
    <t>Animal Control</t>
  </si>
  <si>
    <t>The service delivery outcomes measured in financial terms are shown in the following table.</t>
  </si>
  <si>
    <t>Net</t>
  </si>
  <si>
    <t>Surplus</t>
  </si>
  <si>
    <t>(Deficit)</t>
  </si>
  <si>
    <t>Capital works program</t>
  </si>
  <si>
    <t>Total expenses</t>
  </si>
  <si>
    <t>Property, infrastructure, plant &amp; equipment</t>
  </si>
  <si>
    <t>Inflows</t>
  </si>
  <si>
    <t>(Outflows)</t>
  </si>
  <si>
    <t xml:space="preserve">Cash flows from financing activities </t>
  </si>
  <si>
    <t>The current City was created through two stages of amalgamation with the first stage between the former City of East and the former City of West in 1994. Victorian City was then adopted as the official name of the City. In the second stage, the southern part of the former City of North was subsequently added to this newly created municipality.</t>
  </si>
  <si>
    <t>Population</t>
  </si>
  <si>
    <t>Ageing population</t>
  </si>
  <si>
    <t>Births</t>
  </si>
  <si>
    <t>Cultural diversity</t>
  </si>
  <si>
    <t>The City is a highly culturally and linguistically diverse municipality. Many different cultural groups live in Victorian City and more than 100 different languages are spoken at home by residents.</t>
  </si>
  <si>
    <t>The graph below sets out the required and actual asset renewal over the life of the current SRP and the renewal backlog.</t>
  </si>
  <si>
    <t>Total Capital Program</t>
  </si>
  <si>
    <t>Proceeds on sale of assets</t>
  </si>
  <si>
    <t>Reserve cash and investments</t>
  </si>
  <si>
    <t>Operations</t>
  </si>
  <si>
    <t>Total funding sources</t>
  </si>
  <si>
    <t>Roads</t>
  </si>
  <si>
    <t>Buildings</t>
  </si>
  <si>
    <t>Total new works</t>
  </si>
  <si>
    <t>Total capital works</t>
  </si>
  <si>
    <t>Asset renewal</t>
  </si>
  <si>
    <t xml:space="preserve">Open Space Planning </t>
  </si>
  <si>
    <t>This service prepares policies and strategies relating to open space and urban design issues and prepares and implements an annual capital works program. The service also provides landscape and urban design advice and is actively involved in setting service standards for parks maintenance activities.</t>
  </si>
  <si>
    <t>Unrestricted cash and investments</t>
  </si>
  <si>
    <t>Backlog</t>
  </si>
  <si>
    <t>Renewal required</t>
  </si>
  <si>
    <t>Renewal program</t>
  </si>
  <si>
    <t>(Depreciation)</t>
  </si>
  <si>
    <t>funding</t>
  </si>
  <si>
    <t>Current assets</t>
  </si>
  <si>
    <t>Cash and cash equivalents</t>
  </si>
  <si>
    <t>Trade and other receivables</t>
  </si>
  <si>
    <t>Financial assets</t>
  </si>
  <si>
    <t>Total current assets</t>
  </si>
  <si>
    <t>Non-current assets</t>
  </si>
  <si>
    <t>Property, infrastructure, plant and equipment</t>
  </si>
  <si>
    <t>Total non-current assets</t>
  </si>
  <si>
    <t>Total assets</t>
  </si>
  <si>
    <t>Current liabilities</t>
  </si>
  <si>
    <t>Trade and other payables</t>
  </si>
  <si>
    <t>Interest-bearing loans and borrowings</t>
  </si>
  <si>
    <t>Provisions</t>
  </si>
  <si>
    <t>Total current liabilities</t>
  </si>
  <si>
    <t>Non-current liabilities</t>
  </si>
  <si>
    <t>Total non-current liabilities</t>
  </si>
  <si>
    <t>Total liabilities</t>
  </si>
  <si>
    <t>Net assets</t>
  </si>
  <si>
    <t>Equity</t>
  </si>
  <si>
    <t>Accumulated surplus</t>
  </si>
  <si>
    <t>Total equity</t>
  </si>
  <si>
    <t>1.3  Strategic objectives</t>
  </si>
  <si>
    <t>1.2  Our purpose</t>
  </si>
  <si>
    <t>2.1  Strategic Objective 1:  Advocacy and leadership</t>
  </si>
  <si>
    <t>2.2  Strategic Objective 2:  Community and economic development</t>
  </si>
  <si>
    <t>2.3  Strategic Objective 3: Community participation</t>
  </si>
  <si>
    <t>2.4  Strategic Objective 4:   Resource management</t>
  </si>
  <si>
    <t>2.5  Strategic Objective 5:  Quality service</t>
  </si>
  <si>
    <t>2.6  Strategic Objective 6:  Urban development and environment</t>
  </si>
  <si>
    <t>Ref</t>
  </si>
  <si>
    <t>Rates and charges</t>
  </si>
  <si>
    <t>Statutory fees and fines</t>
  </si>
  <si>
    <t>User fees</t>
  </si>
  <si>
    <t xml:space="preserve"> </t>
  </si>
  <si>
    <t>Cash flows from operations</t>
  </si>
  <si>
    <t>data for chart:</t>
  </si>
  <si>
    <t>operating result</t>
  </si>
  <si>
    <t>net service cost</t>
  </si>
  <si>
    <t>cash &amp; investments</t>
  </si>
  <si>
    <t>capital works</t>
  </si>
  <si>
    <t>working capital</t>
  </si>
  <si>
    <t>underlying result</t>
  </si>
  <si>
    <t>Advocacy &amp; leadership</t>
  </si>
  <si>
    <t>Community &amp;  eco dev</t>
  </si>
  <si>
    <t>Community participation</t>
  </si>
  <si>
    <t>Resource manag</t>
  </si>
  <si>
    <t>Urban dev &amp; environ</t>
  </si>
  <si>
    <t>Cents/$ CIV</t>
  </si>
  <si>
    <t>$/ property</t>
  </si>
  <si>
    <t>The graph below sets out the required and actual asset renewal over the life of the current Strategic Resource Plan and the renewal backlog.</t>
  </si>
  <si>
    <t>Just over one third of residents were born overseas. Of the total population, 61% were born in Australia. Of those residents born overseas, 88% were born in non-English-speaking countries and 12 % were born in English-speaking countries. The main countries of birth of residents, apart from Australia, represent the traditional migrant groups from Europe, including Italy, Greece and the United Kingdom. (Source: Australian Bureau of Statistics, Census of Population and Housing).</t>
  </si>
  <si>
    <t xml:space="preserve">Housing </t>
  </si>
  <si>
    <t>Education and occupation</t>
  </si>
  <si>
    <t>The occupations of residents have also changed. The proportion of professionals, associate professionals and intermediate clerical, sales and service workers has increased, while a fall has occurred in the proportion of tradespeople and related workers, advanced clerical, sales and service workers and labourers and related workers.</t>
  </si>
  <si>
    <t>Budget implications</t>
  </si>
  <si>
    <t>As a result of the City’s demographic profile there are a number of budget implications in the short and long term as follows:</t>
  </si>
  <si>
    <t>Year</t>
  </si>
  <si>
    <t>Council</t>
  </si>
  <si>
    <t>Rate</t>
  </si>
  <si>
    <t>Increase</t>
  </si>
  <si>
    <t>Raised</t>
  </si>
  <si>
    <t>%</t>
  </si>
  <si>
    <t>Striking a proper balance between these elements provides equity in the distribution of the rate burden across residents.</t>
  </si>
  <si>
    <t>Rate type</t>
  </si>
  <si>
    <t>How applied</t>
  </si>
  <si>
    <t xml:space="preserve">Residential rates </t>
  </si>
  <si>
    <t>Municipal charge</t>
  </si>
  <si>
    <t>Kerbside collection charge</t>
  </si>
  <si>
    <t xml:space="preserve">Recycling charge </t>
  </si>
  <si>
    <t>Maintain an understanding of issues of local importance and will provide leadership in tackling them. Where appropriate, we will advocate on behalf of our community and ensure that our community is represented in debates which affect us.</t>
  </si>
  <si>
    <t>Work to improve the quality of life for the local community. We will ensure that social and cultural services are tailored to meet specific local needs and will work to stimulate the city’s economic activity.</t>
  </si>
  <si>
    <t>Communicate clearly with the community and consult in a meaningful and appropriate way. We will increasingly encourage residents and other stakeholders to participate in Council decision making.</t>
  </si>
  <si>
    <t>Take seriously its responsibility as the custodian of community resources. We commit to achieving maximum benefit for the community from all our resources while taking care of our natural environment</t>
  </si>
  <si>
    <t>5.  Quality service</t>
  </si>
  <si>
    <t>The analysis is based on three main categories of cash flows:</t>
  </si>
  <si>
    <t xml:space="preserve">Information technology: PCs and servers </t>
  </si>
  <si>
    <t>Our vision “one community – proudly diverse”</t>
  </si>
  <si>
    <t>Victorian City Council seeks to create an environmentally sustainable and liveable city, where people can shop, work and socialise locally: a city where a car and high income are not necessary for a rich and rewarding quality of life; and a city that will continue to provide a range of opportunities and choices for a diverse and prosperous community.</t>
  </si>
  <si>
    <t>Our mission</t>
  </si>
  <si>
    <t>Victorian City Council will engage in partnership with the Victorian community to lead and develop:</t>
  </si>
  <si>
    <r>
      <t>·</t>
    </r>
    <r>
      <rPr>
        <sz val="7"/>
        <rFont val="Times New Roman"/>
        <family val="1"/>
      </rPr>
      <t xml:space="preserve">           </t>
    </r>
    <r>
      <rPr>
        <sz val="10"/>
        <rFont val="Arial"/>
        <family val="2"/>
      </rPr>
      <t>a city with sustainable growth</t>
    </r>
  </si>
  <si>
    <r>
      <t>·</t>
    </r>
    <r>
      <rPr>
        <sz val="7"/>
        <rFont val="Times New Roman"/>
        <family val="1"/>
      </rPr>
      <t xml:space="preserve">           </t>
    </r>
    <r>
      <rPr>
        <sz val="10"/>
        <rFont val="Arial"/>
        <family val="2"/>
      </rPr>
      <t>a city that cares for and respects all of its citizens</t>
    </r>
  </si>
  <si>
    <r>
      <t>·</t>
    </r>
    <r>
      <rPr>
        <sz val="7"/>
        <rFont val="Times New Roman"/>
        <family val="1"/>
      </rPr>
      <t xml:space="preserve">           </t>
    </r>
    <r>
      <rPr>
        <sz val="10"/>
        <rFont val="Arial"/>
        <family val="2"/>
      </rPr>
      <t>a city that welcomes people from across the globe</t>
    </r>
  </si>
  <si>
    <r>
      <t>·</t>
    </r>
    <r>
      <rPr>
        <sz val="7"/>
        <rFont val="Times New Roman"/>
        <family val="1"/>
      </rPr>
      <t xml:space="preserve">           </t>
    </r>
    <r>
      <rPr>
        <sz val="10"/>
        <rFont val="Arial"/>
        <family val="2"/>
      </rPr>
      <t>a city that celebrates its social, cultural and ethnic heritage</t>
    </r>
  </si>
  <si>
    <t>As an innovative and accountable organisation, Victorian City Council will promote vibrant democracy and provide high-quality services.</t>
  </si>
  <si>
    <t>Our values</t>
  </si>
  <si>
    <r>
      <t>·</t>
    </r>
    <r>
      <rPr>
        <sz val="7"/>
        <rFont val="Times New Roman"/>
        <family val="1"/>
      </rPr>
      <t xml:space="preserve">           </t>
    </r>
    <r>
      <rPr>
        <b/>
        <sz val="10"/>
        <rFont val="Arial"/>
        <family val="2"/>
      </rPr>
      <t>Service</t>
    </r>
    <r>
      <rPr>
        <sz val="10"/>
        <rFont val="Arial"/>
        <family val="2"/>
      </rPr>
      <t xml:space="preserve"> - Our citizens, community and service users are the focus of all our actions</t>
    </r>
  </si>
  <si>
    <r>
      <t>·</t>
    </r>
    <r>
      <rPr>
        <sz val="7"/>
        <rFont val="Times New Roman"/>
        <family val="1"/>
      </rPr>
      <t xml:space="preserve">           </t>
    </r>
    <r>
      <rPr>
        <b/>
        <sz val="10"/>
        <rFont val="Arial"/>
        <family val="2"/>
      </rPr>
      <t>Accountability</t>
    </r>
    <r>
      <rPr>
        <sz val="10"/>
        <rFont val="Arial"/>
        <family val="2"/>
      </rPr>
      <t xml:space="preserve"> - We are responsible for our actions, which are open to review</t>
    </r>
  </si>
  <si>
    <r>
      <t>·</t>
    </r>
    <r>
      <rPr>
        <sz val="7"/>
        <rFont val="Times New Roman"/>
        <family val="1"/>
      </rPr>
      <t xml:space="preserve">           </t>
    </r>
    <r>
      <rPr>
        <b/>
        <sz val="10"/>
        <rFont val="Arial"/>
        <family val="2"/>
      </rPr>
      <t>Innovation</t>
    </r>
    <r>
      <rPr>
        <sz val="10"/>
        <rFont val="Arial"/>
        <family val="2"/>
      </rPr>
      <t xml:space="preserve"> - We encourage and seek new ideas in finding solutions</t>
    </r>
  </si>
  <si>
    <r>
      <t>·</t>
    </r>
    <r>
      <rPr>
        <sz val="7"/>
        <rFont val="Times New Roman"/>
        <family val="1"/>
      </rPr>
      <t xml:space="preserve">           </t>
    </r>
    <r>
      <rPr>
        <b/>
        <sz val="10"/>
        <rFont val="Arial"/>
        <family val="2"/>
      </rPr>
      <t>Recognition</t>
    </r>
    <r>
      <rPr>
        <sz val="10"/>
        <rFont val="Arial"/>
        <family val="2"/>
      </rPr>
      <t xml:space="preserve"> - We promote the achievements and efforts of others</t>
    </r>
  </si>
  <si>
    <t>Capital Works Areas</t>
  </si>
  <si>
    <t>Sources of funding</t>
  </si>
  <si>
    <t>Provisions include accrued long service leave, annual leave and rostered days off owing to employees. These employee entitlements are only expected to increase marginally due to more active management of entitlements despite factoring in an increase for Collective Agreement outcomes.</t>
  </si>
  <si>
    <t>Interest-bearing loans and borrowings are borrowings of Council. The Council is budgeting to repay loan principal of $1.16 million over the year.</t>
  </si>
  <si>
    <t>Total equity always equals net assets and is made up of the following components:</t>
  </si>
  <si>
    <t>Deficit before funding sources</t>
  </si>
  <si>
    <t>Rates &amp; charges</t>
  </si>
  <si>
    <t>Capital grants</t>
  </si>
  <si>
    <t>Total funding sources </t>
  </si>
  <si>
    <t>Surplus for the year</t>
  </si>
  <si>
    <t xml:space="preserve">Budget </t>
  </si>
  <si>
    <t>Strategic Resource Plan</t>
  </si>
  <si>
    <t>Projections</t>
  </si>
  <si>
    <t>Trend</t>
  </si>
  <si>
    <t>+/o/-</t>
  </si>
  <si>
    <t>-</t>
  </si>
  <si>
    <t>+</t>
  </si>
  <si>
    <t>This service prepares long term maintenance management programs for Council’s property assets in an integrated and prioritised manner in order to optimise their strategic value and service potential.  These include municipal buildings, pavilions and other community buildings.</t>
  </si>
  <si>
    <t xml:space="preserve">Engineering Design and Management </t>
  </si>
  <si>
    <t xml:space="preserve">This service undertakes design, tendering, contract management and supervision of various works within Council’s capital works program. The service also approves and supervises private development activities such as subdivisions and infrastructure associated with unit developments. </t>
  </si>
  <si>
    <t xml:space="preserve">Traffic and Transportation Services </t>
  </si>
  <si>
    <t>This service provides strategic planning, policy development and day to day management of traffic and transport related issues in Council. The unit also implements a Green Travel Plan for Council staff, the TravelSMART “Better Ways to Work” program, Local Area Traffic Management schemes and assist with implementation of the Road Safety Strategy.</t>
  </si>
  <si>
    <t xml:space="preserve">Property Management </t>
  </si>
  <si>
    <t>Cash flows from operating activities</t>
  </si>
  <si>
    <t xml:space="preserve">Receipts </t>
  </si>
  <si>
    <t xml:space="preserve">Payments </t>
  </si>
  <si>
    <t xml:space="preserve">Finance costs </t>
  </si>
  <si>
    <t>Cash flows from investing activities</t>
  </si>
  <si>
    <t>Cash flows from financing activities</t>
  </si>
  <si>
    <t xml:space="preserve">                  </t>
  </si>
  <si>
    <t xml:space="preserve">Proceeds from borrowings </t>
  </si>
  <si>
    <t xml:space="preserve">Repayment of borrowings </t>
  </si>
  <si>
    <t xml:space="preserve">Net decrease in cash and cash equivalents </t>
  </si>
  <si>
    <t xml:space="preserve">Cash and cash equivalents at end of the year </t>
  </si>
  <si>
    <t>Represented by:</t>
  </si>
  <si>
    <t>Restricted cash and investments</t>
  </si>
  <si>
    <t>- Statutory reserves</t>
  </si>
  <si>
    <t>- Discretionary reserves</t>
  </si>
  <si>
    <t>Total cash and investments</t>
  </si>
  <si>
    <t>Surplus (deficit) for the year</t>
  </si>
  <si>
    <t>Depreciation</t>
  </si>
  <si>
    <t>Net movement in current assets and liabilities</t>
  </si>
  <si>
    <t>Cash flows available from operating activities</t>
  </si>
  <si>
    <r>
      <t>·</t>
    </r>
    <r>
      <rPr>
        <sz val="7"/>
        <rFont val="Times New Roman"/>
        <family val="1"/>
      </rPr>
      <t xml:space="preserve">           </t>
    </r>
    <r>
      <rPr>
        <sz val="10"/>
        <rFont val="Arial"/>
        <family val="2"/>
      </rPr>
      <t>a city that promotes wellbeing.</t>
    </r>
  </si>
  <si>
    <t>Materials and services</t>
  </si>
  <si>
    <t>Bad and doubtful debts</t>
  </si>
  <si>
    <t>Depreciation and amortisation</t>
  </si>
  <si>
    <t>Finance costs</t>
  </si>
  <si>
    <t>Other expenses</t>
  </si>
  <si>
    <t>Permanent</t>
  </si>
  <si>
    <t xml:space="preserve">Residential </t>
  </si>
  <si>
    <t>Change</t>
  </si>
  <si>
    <t>Residential</t>
  </si>
  <si>
    <t>Total number of assessments</t>
  </si>
  <si>
    <t>Per Rateable Property</t>
  </si>
  <si>
    <t> Type of Charge</t>
  </si>
  <si>
    <t xml:space="preserve">Municipal </t>
  </si>
  <si>
    <t>The rate and amount of rates payable in relation to land in each category of differential are:</t>
  </si>
  <si>
    <t>Average Weekly Earnings</t>
  </si>
  <si>
    <t>(Cost)</t>
  </si>
  <si>
    <t>Bridges and culverts</t>
  </si>
  <si>
    <t xml:space="preserve">Waterways </t>
  </si>
  <si>
    <t>Road drain: Burke stage 1 and 2</t>
  </si>
  <si>
    <t>Sports facilities: Velodrome / State Bowls Centre</t>
  </si>
  <si>
    <t xml:space="preserve">Motor vehicles and plant </t>
  </si>
  <si>
    <t>Information technology: PCs and servers</t>
  </si>
  <si>
    <t>Proceeds from sale of assets include motor vehicle sales in accordance with Council’s fleet renewal policy of $1.59 million.</t>
  </si>
  <si>
    <t>A key objective of the Infrastructure Strategy is to maintain or renew Council’s existing assets at desired condition levels.  If sufficient funds are not allocated to asset renewal then Council’s investment in those assets will reduce, along with the capacity to deliver services to the community.</t>
  </si>
  <si>
    <t>The following table summarises Council's forward outlook on capital expenditure including funding sources for the next four years.</t>
  </si>
  <si>
    <t>Borrowings</t>
  </si>
  <si>
    <t>The general influences affecting all operating revenue and expenditure include the following:</t>
  </si>
  <si>
    <t>Consumer Price Index</t>
  </si>
  <si>
    <t>Rate increases</t>
  </si>
  <si>
    <t>Property growth</t>
  </si>
  <si>
    <t>Wages growth</t>
  </si>
  <si>
    <t>Government funding</t>
  </si>
  <si>
    <t>Statutory fees</t>
  </si>
  <si>
    <t>Investment return</t>
  </si>
  <si>
    <t>As well as the general influences, there are also a number specific influences which relate directly to service areas or activities.  The most significant changes in these areas are summarised below.</t>
  </si>
  <si>
    <t>Transfer Station</t>
  </si>
  <si>
    <t>Residential Garbage Collection</t>
  </si>
  <si>
    <t>This service facilitates the smooth flow of traffic and parking throughout the municipality through the provision of safe, orderly and equitable parking enforcement and education. In addition the service is responsible for the maintenance, management and strategic planning for Councils Building, land and property leases and licenses</t>
  </si>
  <si>
    <t>This service develops environmental policy, coordinates and implements environmental projects and works with other services to improve Council’s environmental performance.  Reducing greenhouse gas emissions within Council operations and the community are a key priority through Council’s ongoing involvement in the Cities for Climate Protection Plus program.</t>
  </si>
  <si>
    <t>This service predominantly provides financial based services to both internal and external customers including the management of Council’s finances, payment of salaries and wages to Council employees, procurement and contracting of services, raising and collection of rates and charges and valuation of properties throughout the municipality.</t>
  </si>
  <si>
    <t>This service provides, supports and maintains reliable and cost effective communications and computing systems, facilities and infrastructure to Council staff enabling them to deliver services in a smart, productive and efficient way.</t>
  </si>
  <si>
    <t xml:space="preserve">Organisation Development </t>
  </si>
  <si>
    <t>This service provides Council with strategic and operational organisation development support. The service develops and implements strategies, policies and procedures through the provision of human resource and industrial relations services. The service also assists managers to determine and progress toward future structures, capability and cultures in their service units.</t>
  </si>
  <si>
    <t xml:space="preserve">Fleet Services </t>
  </si>
  <si>
    <t>This service purchases and maintains Council vehicles, plant and equipment to meet functionality and safety needs and to maximise the performance and minimise operational cost of the fleet. In addition, the service provides baby capsule hire to residents.</t>
  </si>
  <si>
    <t xml:space="preserve">Infrastructure Planning </t>
  </si>
  <si>
    <t xml:space="preserve">Facilities Maintenance </t>
  </si>
  <si>
    <t>Each differential rate will be determined by multiplying the Capital Improved Value of each rateable land (categorised by the characteristics described below) by the relevant percentages indicated above.</t>
  </si>
  <si>
    <t>Council considers that each differential rate will contribute to the equitable and efficient carrying out of council functions.  Details of the objectives of each differential rate, the types of classes of land, which are subject to each differential rate and the uses of each differential rate, are set out below.</t>
  </si>
  <si>
    <t>The objective of this differential rate is to ensure that all rateable land makes an equitable financial contribution to the cost of carrying out the functions of Council, including (but not limited to) the:</t>
  </si>
  <si>
    <t>The types and classes of rateable land within this differential rate are those having the relevant characteristics described above.</t>
  </si>
  <si>
    <t>The money raised by the differential rate will be applied to the items of expenditure described in the Budget by Council.  The level of the rate for land in this category is considered to provide for an appropriate contribution to Council’s budgeted expenditure, having regard to the characteristics of the land.</t>
  </si>
  <si>
    <t>The geographic location of the land within this differential rate is wherever located within the municipal district, without reference to ward boundaries.</t>
  </si>
  <si>
    <t>The use of the land within this differential rate, in the case of improved land, is any use of land.</t>
  </si>
  <si>
    <t>Residential land is any land, which is:</t>
  </si>
  <si>
    <t>Other assets</t>
  </si>
  <si>
    <t>Arts and Cultural Planning</t>
  </si>
  <si>
    <t>This service provides a varied ongoing program of arts and cultural events and activities, plans and develops arts and cultural facilities and infrastructure and develops policies and strategies to facilitate art practice.</t>
  </si>
  <si>
    <t>Leisure Services</t>
  </si>
  <si>
    <t>Interest</t>
  </si>
  <si>
    <t>This service is responsible for the management and provision of advice on external communication, in consultation with relevant stakeholders, on behalf of Council.</t>
  </si>
  <si>
    <t>Budget process</t>
  </si>
  <si>
    <t>The capital works projects are grouped by class and include the following:</t>
  </si>
  <si>
    <t>Capital Works Area</t>
  </si>
  <si>
    <t>Local roads</t>
  </si>
  <si>
    <t>Car parks</t>
  </si>
  <si>
    <t xml:space="preserve">Footpaths </t>
  </si>
  <si>
    <t xml:space="preserve">Bike paths </t>
  </si>
  <si>
    <t xml:space="preserve">Program works </t>
  </si>
  <si>
    <t>Declared main roads</t>
  </si>
  <si>
    <t xml:space="preserve">Traffic devices </t>
  </si>
  <si>
    <t xml:space="preserve">Street lighting </t>
  </si>
  <si>
    <t>Traffic signals</t>
  </si>
  <si>
    <t>Integrated transport plan</t>
  </si>
  <si>
    <t xml:space="preserve">Roads to recovery </t>
  </si>
  <si>
    <t xml:space="preserve">Pedestrian safety </t>
  </si>
  <si>
    <t xml:space="preserve">Parking </t>
  </si>
  <si>
    <t xml:space="preserve">Traffic investigations </t>
  </si>
  <si>
    <t>Local road: Benjamin to High</t>
  </si>
  <si>
    <t>Local road: Northfield Plaza</t>
  </si>
  <si>
    <t>Local road: Pinders to Archfield</t>
  </si>
  <si>
    <t>Local road: David to Portmouth</t>
  </si>
  <si>
    <t>Carpark: Northfield Leisure Centre</t>
  </si>
  <si>
    <t>Footpath: James to High</t>
  </si>
  <si>
    <t>Footpath: Lanham to Elm</t>
  </si>
  <si>
    <t>Footpath: Watt to Clapam</t>
  </si>
  <si>
    <t>Footpath: Wembley to Jet</t>
  </si>
  <si>
    <t>Traffic devices: Bestings to James</t>
  </si>
  <si>
    <t>TOTAL ROADS</t>
  </si>
  <si>
    <t xml:space="preserve">Retarding basins </t>
  </si>
  <si>
    <t xml:space="preserve">Water quality </t>
  </si>
  <si>
    <t>Storm water trap: Muddy Creek</t>
  </si>
  <si>
    <t xml:space="preserve">Parks </t>
  </si>
  <si>
    <t xml:space="preserve">Streetscapes </t>
  </si>
  <si>
    <t>Trees</t>
  </si>
  <si>
    <t>Playing surfaces: Training lights</t>
  </si>
  <si>
    <t>Playground equipment: Victoria Park</t>
  </si>
  <si>
    <t>Irrigation systems: Victoria Park</t>
  </si>
  <si>
    <t>Public art: Municipal square</t>
  </si>
  <si>
    <t xml:space="preserve">Community facilities </t>
  </si>
  <si>
    <t xml:space="preserve">Municipal offices </t>
  </si>
  <si>
    <t xml:space="preserve">Sports facilities </t>
  </si>
  <si>
    <t xml:space="preserve">Pavilions </t>
  </si>
  <si>
    <t>Community facilities: Victorian Community Facility</t>
  </si>
  <si>
    <t>Municipal offices: Depot lift</t>
  </si>
  <si>
    <t xml:space="preserve">Information technology </t>
  </si>
  <si>
    <t>Information technology: Asset system</t>
  </si>
  <si>
    <t>Information technology: WAN infrastructure</t>
  </si>
  <si>
    <t>Books: Product purchases</t>
  </si>
  <si>
    <t>Victorian library concept plan</t>
  </si>
  <si>
    <t xml:space="preserve">Local roads </t>
  </si>
  <si>
    <t xml:space="preserve">Car parks </t>
  </si>
  <si>
    <t xml:space="preserve">Integrated transport plan </t>
  </si>
  <si>
    <t>Local roads: Johnson to Bates</t>
  </si>
  <si>
    <t>Road drain: Grange final stage</t>
  </si>
  <si>
    <t>Public art: Northfield shopping centre</t>
  </si>
  <si>
    <t>Community facilities: Newlands Centre</t>
  </si>
  <si>
    <t>Municipal offices: Civic Precinct</t>
  </si>
  <si>
    <t>TOTAL CAPITAL WORKS</t>
  </si>
  <si>
    <t>Measure</t>
  </si>
  <si>
    <t>Revenue</t>
  </si>
  <si>
    <t>$’000</t>
  </si>
  <si>
    <t>Resource management</t>
  </si>
  <si>
    <t>Quality service</t>
  </si>
  <si>
    <t>Urban development &amp; environment</t>
  </si>
  <si>
    <r>
      <t>Other non-attributable</t>
    </r>
    <r>
      <rPr>
        <i/>
        <sz val="10"/>
        <rFont val="Arial"/>
        <family val="2"/>
      </rPr>
      <t> </t>
    </r>
  </si>
  <si>
    <t xml:space="preserve">Total </t>
  </si>
  <si>
    <t>The most significant increases in employee costs by service unit are summarised below:</t>
  </si>
  <si>
    <t>City Services</t>
  </si>
  <si>
    <t>Street cleansing</t>
  </si>
  <si>
    <t>Collection services</t>
  </si>
  <si>
    <t>Statutory planning</t>
  </si>
  <si>
    <t>Community Services</t>
  </si>
  <si>
    <t>Home support</t>
  </si>
  <si>
    <t>Urban design</t>
  </si>
  <si>
    <t xml:space="preserve">Borrowing costs relate to interest charged by financial institutions on funds borrowed. The reduction in borrowing costs results from the planned reduction in borrowings due to repayment of principal in accordance with loan agreements. </t>
  </si>
  <si>
    <t>Budget</t>
  </si>
  <si>
    <t>Variance</t>
  </si>
  <si>
    <t>Contents</t>
  </si>
  <si>
    <t>Page</t>
  </si>
  <si>
    <t>Budget processes</t>
  </si>
  <si>
    <t>Long term strategies</t>
  </si>
  <si>
    <t>Appendices</t>
  </si>
  <si>
    <r>
      <t> </t>
    </r>
    <r>
      <rPr>
        <b/>
        <sz val="10"/>
        <color indexed="9"/>
        <rFont val="Arial"/>
        <family val="2"/>
      </rPr>
      <t>Indicator</t>
    </r>
  </si>
  <si>
    <t>Notes</t>
  </si>
  <si>
    <t>Strategic Resource Plan Projections</t>
  </si>
  <si>
    <t>This service provides a range of governance, statutory and corporate support services and acts as the main customer interface with the community. Services include the coordination of council and committee meetings, records and information management and office support services at the Civic Centre. Two municipal halls are available for hire and the customer support service is delivered from four located customer service centres.</t>
  </si>
  <si>
    <t xml:space="preserve">This service provides organisational policy, systems and support in the areas of continuous improvement, corporate planning, performance measurement and reporting. </t>
  </si>
  <si>
    <r>
      <t>·</t>
    </r>
    <r>
      <rPr>
        <sz val="7"/>
        <rFont val="Times New Roman"/>
        <family val="1"/>
      </rPr>
      <t xml:space="preserve">           </t>
    </r>
    <r>
      <rPr>
        <b/>
        <sz val="10"/>
        <rFont val="Arial"/>
        <family val="2"/>
      </rPr>
      <t>Safety</t>
    </r>
    <r>
      <rPr>
        <sz val="10"/>
        <rFont val="Arial"/>
        <family val="2"/>
      </rPr>
      <t xml:space="preserve"> - We look after our environment and the welfare of others</t>
    </r>
  </si>
  <si>
    <r>
      <t>·</t>
    </r>
    <r>
      <rPr>
        <sz val="7"/>
        <rFont val="Times New Roman"/>
        <family val="1"/>
      </rPr>
      <t xml:space="preserve">           </t>
    </r>
    <r>
      <rPr>
        <b/>
        <sz val="10"/>
        <rFont val="Arial"/>
        <family val="2"/>
      </rPr>
      <t>Integrity</t>
    </r>
    <r>
      <rPr>
        <sz val="10"/>
        <rFont val="Arial"/>
        <family val="2"/>
      </rPr>
      <t xml:space="preserve"> - We are open and honest and work to the best of our ability</t>
    </r>
  </si>
  <si>
    <t>Strategic Objective</t>
  </si>
  <si>
    <t>Description</t>
  </si>
  <si>
    <t>This service provides statutory building services to the Council community including processing of building permits, emergency management responsibilities, fire safety inspections, audits of swimming pool barriers and investigations of complaints and illegal works.</t>
  </si>
  <si>
    <t xml:space="preserve">Environmental Health </t>
  </si>
  <si>
    <t>Forecast</t>
  </si>
  <si>
    <t>Actual</t>
  </si>
  <si>
    <t>Victorian Grants Commission</t>
  </si>
  <si>
    <t>Timing</t>
  </si>
  <si>
    <t>In response to these influences, guidelines were prepared and distributed to all Council officers with budget responsibilities. The guidelines set out the key budget principles upon which the officers were to prepare their budgets. The principles included:</t>
  </si>
  <si>
    <t xml:space="preserve"> (Revenue)</t>
  </si>
  <si>
    <t>Service</t>
  </si>
  <si>
    <t>Victorian City Council has a clear strength in the bond and affinity between its Councillors, the community and staff. Staff support the community leadership and governance role of Councillors, and work together to achieve the commitments of the Council Plan. Having all Victorian City Council staff practise the following organisational values enhance the quality of this partnership:</t>
  </si>
  <si>
    <r>
      <t>·</t>
    </r>
    <r>
      <rPr>
        <sz val="7"/>
        <rFont val="Times New Roman"/>
        <family val="1"/>
      </rPr>
      <t xml:space="preserve">           </t>
    </r>
    <r>
      <rPr>
        <b/>
        <sz val="10"/>
        <rFont val="Arial"/>
        <family val="2"/>
      </rPr>
      <t>Respect</t>
    </r>
    <r>
      <rPr>
        <sz val="10"/>
        <rFont val="Arial"/>
        <family val="2"/>
      </rPr>
      <t xml:space="preserve"> - We acknowledge the opinions of others and their rights and differences.</t>
    </r>
  </si>
  <si>
    <t>Capital works</t>
  </si>
  <si>
    <t>o</t>
  </si>
  <si>
    <t>Key to Forecast Trend:</t>
  </si>
  <si>
    <t>The following graph shows the general financial indicators over the four year period.</t>
  </si>
  <si>
    <t>The key outcomes of the Plan are as follows:</t>
  </si>
  <si>
    <t>Deliver high quality value for money services in areas that are important to the community and will involve the community in determining and evaluating their performance on an ongoing basis.</t>
  </si>
  <si>
    <t>Work to improve the quality of our natural and urban environment, and will stimulate development activity within a framework that protects and enhances the natural environment, heritage assets and residential amenity.</t>
  </si>
  <si>
    <t>2.  Community and
     economic
     development</t>
  </si>
  <si>
    <t>3.  Community
     participation</t>
  </si>
  <si>
    <t>4.  Resource
     management</t>
  </si>
  <si>
    <t>1.  Advocacy and
     leadership</t>
  </si>
  <si>
    <t>Expenditure</t>
  </si>
  <si>
    <t>Net Cost</t>
  </si>
  <si>
    <t>$'000</t>
  </si>
  <si>
    <t>Councillors, Chief Executive and Executive Team</t>
  </si>
  <si>
    <t>This service has the responsibility to frame and respond to the challenges of social inclusion that present to Council. It is the responsibility of this service to ensure that issues that arise and situations and trends that develop of a social policy nature are responded to appropriately by Council.</t>
  </si>
  <si>
    <t>Initiatives</t>
  </si>
  <si>
    <t>Performance Measure</t>
  </si>
  <si>
    <t>(Revenue)</t>
  </si>
  <si>
    <t>Victorian Park</t>
  </si>
  <si>
    <t>Leisure Outsourcing</t>
  </si>
  <si>
    <t>Arts and Entertainment Centre</t>
  </si>
  <si>
    <t>Victorian Leisure Centre</t>
  </si>
  <si>
    <t>Drainage</t>
  </si>
  <si>
    <t>$</t>
  </si>
  <si>
    <t>cents/$CIV</t>
  </si>
  <si>
    <t>General rate for rateable residential properties</t>
  </si>
  <si>
    <t>Victorian City Council is located on the northern edge of Melbourne. The city, covering an area of 51 square kilometres, comprises the former cities of East and West and the southern parts of the former North municipality.</t>
  </si>
  <si>
    <t>Notes to indicators</t>
  </si>
  <si>
    <t>Income</t>
  </si>
  <si>
    <t>Contributions - non-monetary assets</t>
  </si>
  <si>
    <t>Other income</t>
  </si>
  <si>
    <t>Total income</t>
  </si>
  <si>
    <t>Expenses</t>
  </si>
  <si>
    <t>Property and facilities</t>
  </si>
  <si>
    <t>Aged services</t>
  </si>
  <si>
    <t>Family services</t>
  </si>
  <si>
    <t>Parks and leisure</t>
  </si>
  <si>
    <t>Arts, culture and libraries</t>
  </si>
  <si>
    <t>Planning and amenity</t>
  </si>
  <si>
    <t>Environment and waste</t>
  </si>
  <si>
    <t>Roads and drainage</t>
  </si>
  <si>
    <t>May</t>
  </si>
  <si>
    <t>May/Jun</t>
  </si>
  <si>
    <t>Jun</t>
  </si>
  <si>
    <t>Funding sources:</t>
  </si>
  <si>
    <t>Income Types</t>
  </si>
  <si>
    <t>Grants - operating</t>
  </si>
  <si>
    <t>Grants - capital</t>
  </si>
  <si>
    <t xml:space="preserve">Other income relates to a range of items such as private works, cost recoups and other miscellaneous income items.  It also includes interest revenue on investments and rate arrears. </t>
  </si>
  <si>
    <t>Expense Types</t>
  </si>
  <si>
    <t xml:space="preserve">Grants - operating </t>
  </si>
  <si>
    <t xml:space="preserve">Grants - capital </t>
  </si>
  <si>
    <t>The net cash flows from operating activities does not equal the surplus (deficit) for the year as the expected revenues and expenses of the Council include non-cash items which have been excluded from the Cash Flow Statement. The budgeted operating result is reconciled to budgeted cash flows available from operating activities as set out in the following table.</t>
  </si>
  <si>
    <t>Working capital</t>
  </si>
  <si>
    <t>Restricted cash and investment current assets</t>
  </si>
  <si>
    <t xml:space="preserve"> - Statutory reserves</t>
  </si>
  <si>
    <t>Having reviewed the various valuation bases for determining the property value component of rates, Council has determined to apply a Capital Improved Value (CIV) basis on the grounds that it provides the most equitable distribution of rates across the municipality. There are currently no plans to change that basis, but Council does review its rating structure every four years.</t>
  </si>
  <si>
    <t xml:space="preserve">Statutory fees and fines </t>
  </si>
  <si>
    <t>Fees and charges schedule</t>
  </si>
  <si>
    <t>Engineering Construction Index</t>
  </si>
  <si>
    <t>Non-residential Building Index</t>
  </si>
  <si>
    <t>2015/16</t>
  </si>
  <si>
    <t>Under the Act, Council is required to prepare and adopt an annual budget for each financial year. The budget is required to include certain information about the rates and charges that Council intends to levy as well as a range of other information required by the Regulations which support the Act.</t>
  </si>
  <si>
    <t>Dec/Jan</t>
  </si>
  <si>
    <t>Current year funding</t>
  </si>
  <si>
    <t xml:space="preserve">Employee costs include all labour related expenditure such as wages and salaries and on-costs such as allowances, leave entitlements, employer superannuation, rostered days off, etc. </t>
  </si>
  <si>
    <t>In preparing the SRP, Council has also been mindful of the need to comply with the following Principles of Sound Financial Management as contained in the Act:</t>
  </si>
  <si>
    <t>2016/17</t>
  </si>
  <si>
    <t>2017/18</t>
  </si>
  <si>
    <t>Employee costs</t>
  </si>
  <si>
    <t>Mar/Apr</t>
  </si>
  <si>
    <t>Other receipts</t>
  </si>
  <si>
    <t>Other payments</t>
  </si>
  <si>
    <t>Council has established a rating structure which is comprised of three key elements. These are:</t>
  </si>
  <si>
    <t>Council makes a further distinction within the property value component of rates based on the purpose for which the property is used, that is, whether the property is used for residential or commercial purposes. This distinction is based on the concept that business should pay a fair and equitable contribution to rates taking into account the benefits those commercial properties derive from the local community.</t>
  </si>
  <si>
    <t xml:space="preserve">Commercial rates </t>
  </si>
  <si>
    <t>General rate for rateable commercial properties</t>
  </si>
  <si>
    <t>Commercial</t>
  </si>
  <si>
    <t>Commercial land is any land, which is:</t>
  </si>
  <si>
    <t>The characteristics of planning scheme zoning are applicable to the determination of vacant land which will be subject to the rate applicable to commercial land.  The vacant land affected by this rate is that which is zoned commercial and/or industrial under the City of Victoria Planning Scheme.  The classification of land which is improved will be determined by the occupation of that land and have reference to the planning scheme zoning.</t>
  </si>
  <si>
    <t>The characteristics of planning scheme zoning are applicable to the determination of vacant land which will be subject to the rate applicable to residential land.  The vacant land affected by this rate is that which is zoned residential under the Victorian Local Council Planning Scheme.  The classification of land which is improved will be determined by the occupation of that land and have reference to the planning scheme zoning.</t>
  </si>
  <si>
    <t>Surplus/(deficit) for the year</t>
  </si>
  <si>
    <r>
      <t xml:space="preserve">Council has adopted a formal </t>
    </r>
    <r>
      <rPr>
        <i/>
        <sz val="10"/>
        <rFont val="Arial"/>
        <family val="2"/>
      </rPr>
      <t xml:space="preserve">Rating Strategy </t>
    </r>
    <r>
      <rPr>
        <sz val="10"/>
        <rFont val="Arial"/>
        <family val="2"/>
      </rPr>
      <t>that contains expanded information on Council's rating structure and the reasons behind its choices in applying the rating mechanisms it has used.</t>
    </r>
  </si>
  <si>
    <t>Indicator</t>
  </si>
  <si>
    <t>Operating position</t>
  </si>
  <si>
    <t>Adjusted underlying result</t>
  </si>
  <si>
    <t>Liquidity</t>
  </si>
  <si>
    <t>Unrestricted cash</t>
  </si>
  <si>
    <t>Obligations</t>
  </si>
  <si>
    <t>Loans and borrowings</t>
  </si>
  <si>
    <t>Indebtedness</t>
  </si>
  <si>
    <t>Asset renewal expenditure</t>
  </si>
  <si>
    <t>Stability</t>
  </si>
  <si>
    <t>Rates concentration</t>
  </si>
  <si>
    <t>Rates effort</t>
  </si>
  <si>
    <t>Expenditure level</t>
  </si>
  <si>
    <t>Revenue level</t>
  </si>
  <si>
    <t>Workforce turnover</t>
  </si>
  <si>
    <t>Total</t>
  </si>
  <si>
    <t>Kerbside collection</t>
  </si>
  <si>
    <t>Recycling</t>
  </si>
  <si>
    <t>PROPERTY</t>
  </si>
  <si>
    <t>Land</t>
  </si>
  <si>
    <t>Land improvements</t>
  </si>
  <si>
    <t>Building improvements</t>
  </si>
  <si>
    <t>PLANT AND EQUIPMENT</t>
  </si>
  <si>
    <t>Plant, machinery and equipment</t>
  </si>
  <si>
    <t>Fixtures, fittings and furniture</t>
  </si>
  <si>
    <t>Computers and telecommunications</t>
  </si>
  <si>
    <t>Library books</t>
  </si>
  <si>
    <t>INFRASTRUCTURE</t>
  </si>
  <si>
    <t>Bridges</t>
  </si>
  <si>
    <t>Footpaths and cycleways</t>
  </si>
  <si>
    <t>Rec, leisure and community facilities</t>
  </si>
  <si>
    <t>Waste management</t>
  </si>
  <si>
    <t>Parks, open space and streetscapes</t>
  </si>
  <si>
    <t>Off street car parks</t>
  </si>
  <si>
    <t>Other structures</t>
  </si>
  <si>
    <t>Property</t>
  </si>
  <si>
    <t>Plant and equipment</t>
  </si>
  <si>
    <t>Infrastructure</t>
  </si>
  <si>
    <t>Grants</t>
  </si>
  <si>
    <t>Contributions</t>
  </si>
  <si>
    <t>Council cash</t>
  </si>
  <si>
    <t>- operations</t>
  </si>
  <si>
    <t>- proceeds on sale of assets</t>
  </si>
  <si>
    <t>- reserve cash and investments</t>
  </si>
  <si>
    <t>- unrestricted cash and investments</t>
  </si>
  <si>
    <t>Total capital works expenditure</t>
  </si>
  <si>
    <t>Jul</t>
  </si>
  <si>
    <t>In addition to the above, Council has a long term plan (Vision 2030) which articulates a community vision, mission and values.  The Council Plan is prepared with reference to Council's long term Community Plan.
The timing of each component of the planning framework is critical to the successful achievement of the planned outcomes. The Council Plan, including the Strategic Resource Plan, is required to be completed by 30 June following a general election and is reviewed each year in advance of the commencement of the Annual Budget process.</t>
  </si>
  <si>
    <t>Major Initiatives</t>
  </si>
  <si>
    <t>Computation</t>
  </si>
  <si>
    <t>Governance</t>
  </si>
  <si>
    <t>Satisfaction</t>
  </si>
  <si>
    <t>Community satisfaction rating out of 100 with how Council has performed in making decisions in the interests of the community</t>
  </si>
  <si>
    <t>Services</t>
  </si>
  <si>
    <t>Home and Community Care</t>
  </si>
  <si>
    <t>Participation</t>
  </si>
  <si>
    <t>[Number of people that received a HACC service / Municipal target population for HACC services] x100</t>
  </si>
  <si>
    <t>[Number of CALD people who receive a HACC service / Municipal target population in relation to CALD people for HACC services] x100</t>
  </si>
  <si>
    <t>Maternal and Child Health</t>
  </si>
  <si>
    <t>Economic Development</t>
  </si>
  <si>
    <t>Victorian Homestead</t>
  </si>
  <si>
    <t>Library Services</t>
  </si>
  <si>
    <t>Family Services</t>
  </si>
  <si>
    <t>Libraries</t>
  </si>
  <si>
    <t>[Number of active library members / municipal population] x100</t>
  </si>
  <si>
    <t>Utilisation</t>
  </si>
  <si>
    <t>Economic activity</t>
  </si>
  <si>
    <t>Communications</t>
  </si>
  <si>
    <t>Financial Services</t>
  </si>
  <si>
    <t>Information Services</t>
  </si>
  <si>
    <t>To achieve our objective of Advocacy and Leadership, we will continue to plan, deliver and improve high quality, cost effective, accessible and responsive services. The services, initiatives, major initiatives and service performance indicators for each business area are described below.</t>
  </si>
  <si>
    <r>
      <t xml:space="preserve">This area of </t>
    </r>
    <r>
      <rPr>
        <b/>
        <u/>
        <sz val="10"/>
        <rFont val="Arial"/>
        <family val="2"/>
      </rPr>
      <t>governance</t>
    </r>
    <r>
      <rPr>
        <sz val="10"/>
        <rFont val="Arial"/>
        <family val="2"/>
      </rPr>
      <t xml:space="preserve"> includes the Mayor, Councillors, Chief Executive Officer and Executive Management Team and associated support which cannot be easily attributed to the direct service provision areas.</t>
    </r>
  </si>
  <si>
    <t xml:space="preserve">Satisfaction with Council decisions
(Community satisfaction rating out of 100 with how Council has performed in making decisions in the interests of the community)
</t>
  </si>
  <si>
    <t>Service Performance Outcome Indicators</t>
  </si>
  <si>
    <t>To achieve our objective of Community and Economic Development, we will continue to plan, deliver and improve high quality, cost effective, accessible and responsive services. The services, initiatives, major initiatives and service performance indicators for each business area are described below.</t>
  </si>
  <si>
    <r>
      <t xml:space="preserve">This service provides a range of </t>
    </r>
    <r>
      <rPr>
        <b/>
        <u/>
        <sz val="10"/>
        <rFont val="Arial"/>
        <family val="2"/>
      </rPr>
      <t>home and community care</t>
    </r>
    <r>
      <rPr>
        <sz val="10"/>
        <rFont val="Arial"/>
        <family val="2"/>
      </rPr>
      <t xml:space="preserve"> services for the aged and disabled including home delivered meals, personal care, transport, dementia care, home maintenance, housing support and senior citizen clubs.</t>
    </r>
  </si>
  <si>
    <r>
      <t xml:space="preserve">This service includes a 9 hole public golf course which offers a range of golfing programs and events including tournaments. It provides a range of recreational facilities including indoor and outdoor swimming </t>
    </r>
    <r>
      <rPr>
        <b/>
        <u/>
        <sz val="10"/>
        <rFont val="Arial"/>
        <family val="2"/>
      </rPr>
      <t>pool facilities</t>
    </r>
    <r>
      <rPr>
        <sz val="10"/>
        <rFont val="Arial"/>
        <family val="2"/>
      </rPr>
      <t>, a fully equipped Gymnasium, aqua aerobics, aerobics, pump, circuit, yoga and gymnastics classes, public tennis courts and childcare facilities. It also provides 4 indoor and 3 outdoor multipurpose courts and provides an extensive range of recreational programs and opportunities accessible to individuals of all ages, sexes and abilities.</t>
    </r>
  </si>
  <si>
    <t>This service provides theatre services including technical staging advice and performance operations, facilities for presentations including events for children, families and older people and exhibitions of works by local artists, function and catering services including seminars, meetings, conferences and expos and a kiosk. This service is also responsible for management of the public facilities at the Council Town Hall and the delivery of the annual Festival.</t>
  </si>
  <si>
    <t>This service combines a wide range of programs and services, which provide the opportunity for the community to participate in a variety of cultural, health, education, and leisure activities, which contribute to the general well being of the community.</t>
  </si>
  <si>
    <r>
      <t xml:space="preserve">This service provides family oriented support services including pre-schools, a toy library, </t>
    </r>
    <r>
      <rPr>
        <b/>
        <u/>
        <sz val="10"/>
        <rFont val="Arial"/>
        <family val="2"/>
      </rPr>
      <t>maternal and child health</t>
    </r>
    <r>
      <rPr>
        <sz val="10"/>
        <rFont val="Arial"/>
        <family val="2"/>
      </rPr>
      <t>, pre-school dental, counselling and support, youth services, immunisation, family day care, holiday programs and health and safety.</t>
    </r>
  </si>
  <si>
    <t>This service provides public open space, an 18 hole public golf course, pristine environmental areas, a visitor’s centre and café and an accredited Tourist Information Centre. Victorian Park is also home to a Settlement, a community tourist attraction providing a host of activities including an Urban Farm, Heritage Village and the Wildlife Reserve.</t>
  </si>
  <si>
    <t>This service is responsible for the management and use of sporting grounds and pavilions and community centres with meeting, function and activity space. The service provides advice to Council on local leisure needs and assists community groups with funding applications, event management and promotion and issues relating to license agreements with Council.</t>
  </si>
  <si>
    <t>This service provides the community with a flexible recreational and cultural space at Victorian Homestead. The service includes exhibition spaces which host a year round exhibition program that includes both historic and contemporary art and craft.</t>
  </si>
  <si>
    <r>
      <t xml:space="preserve">The </t>
    </r>
    <r>
      <rPr>
        <b/>
        <u/>
        <sz val="10"/>
        <rFont val="Arial"/>
        <family val="2"/>
      </rPr>
      <t>economic development</t>
    </r>
    <r>
      <rPr>
        <sz val="10"/>
        <rFont val="Arial"/>
        <family val="2"/>
      </rPr>
      <t xml:space="preserve"> service assists the organisation to facilitate an environment that is conducive to a sustainable and growing local business sector and provides opportunities for local residents to improve their skill levels and access employment.</t>
    </r>
  </si>
  <si>
    <t>Description of services provided</t>
  </si>
  <si>
    <r>
      <t>This service provides public</t>
    </r>
    <r>
      <rPr>
        <b/>
        <u/>
        <sz val="10"/>
        <rFont val="Arial"/>
        <family val="2"/>
      </rPr>
      <t xml:space="preserve"> library </t>
    </r>
    <r>
      <rPr>
        <sz val="10"/>
        <rFont val="Arial"/>
        <family val="2"/>
      </rPr>
      <t>services at three locations and provides a customer focused service that caters for the cultural, educational and recreational needs of residents and provides a focal point for the community where they can meet, relax and enjoy the facilities and services offered.</t>
    </r>
  </si>
  <si>
    <t xml:space="preserve">Active library members
(Percentage of the municipal population that are active library members)
</t>
  </si>
  <si>
    <t xml:space="preserve">Change in number of businesses
(Percentage change in the number of businesses with an ABN in the municipality)
</t>
  </si>
  <si>
    <t>To achieve our objective of Community Participation, we will continue to plan, deliver and improve high quality, cost effective, accessible and responsive services. The services, initiatives, major initiatives and service performance indicators for each business area are described below.</t>
  </si>
  <si>
    <t>To achieve our objective of Resource Management, we will continue to plan, deliver and improve high quality, cost effective, accessible and responsive services. The services, initiatives, major initiatives and service performance indicators for each business area are described below.</t>
  </si>
  <si>
    <t>To achieve our objective of Quality Service, we will continue to plan, deliver and improve high quality, cost effective, accessible and responsive services. The services, initiatives, major initiatives and service performance indicators for each business area are described below.</t>
  </si>
  <si>
    <t>To achieve our objective of Urban Development and Environment, we will continue to plan, deliver and improve high quality, cost effective, accessible and responsive services. The services, initiatives, major initiatives and service performance indicators for each business area are described below.</t>
  </si>
  <si>
    <t>Decision making</t>
  </si>
  <si>
    <t xml:space="preserve">Kerbside collection waste diverted from landfill
(Percentage of garbage, recyclables and green organics collected from kerbside bins that is diverted from landfill)
</t>
  </si>
  <si>
    <t xml:space="preserve">Satisfaction with sealed local roads
(Community satisfaction rating out of 100 with how Council has performed on the condition of sealed local roads)
</t>
  </si>
  <si>
    <t xml:space="preserve">Animal management prosecutions
(Number of successful animal management prosecutions) 
</t>
  </si>
  <si>
    <t xml:space="preserve">Critical and major non-compliance notifications
(Percentage of critical and major non-compliance notifications that are followed up by Council)
</t>
  </si>
  <si>
    <t>[Weight of recyclables and green organics collected from kerbside bins / Weight of garbage, recyclables and green organics collected from kerbside bins] x100</t>
  </si>
  <si>
    <t>Community satisfaction rating out of 100 with how Council has performed on the condition of sealed local roads.</t>
  </si>
  <si>
    <t>Number of successful animal management prosecutions</t>
  </si>
  <si>
    <t>[Number of critical non-compliance notifications and major non-compliance notifications about a food premises followed up / Number of critical non-compliance notifications and major non-compliance notifications about food premises] x100</t>
  </si>
  <si>
    <t>Waste collection</t>
  </si>
  <si>
    <t>Animal Management</t>
  </si>
  <si>
    <t>Health and safety</t>
  </si>
  <si>
    <t>Food safety</t>
  </si>
  <si>
    <t>Waste diversion</t>
  </si>
  <si>
    <r>
      <t xml:space="preserve">This </t>
    </r>
    <r>
      <rPr>
        <b/>
        <u/>
        <sz val="10"/>
        <rFont val="Arial"/>
        <family val="2"/>
      </rPr>
      <t xml:space="preserve">statutory planning </t>
    </r>
    <r>
      <rPr>
        <sz val="10"/>
        <rFont val="Arial"/>
        <family val="2"/>
      </rPr>
      <t>service processes all planning applications, provides advice and makes decisions about development proposals which require a planning permit, as well as representing Council at the Victorian Civil and Administrative Tribunal where necessary. It monitors the Council’s Planning Scheme as well as preparing major policy documents shaping the future of the City. It also prepares and processes amendments to the Council Planning Scheme and carries out research on demographic, urban development, economic and social issues affecting Council.</t>
    </r>
  </si>
  <si>
    <t>This service is divided into four main operational units. Arboriculture provides tree pruning, planting, removal, planning and street tree strategies. Bushland provides the management of conservation and parkland areas, creeks and other areas of environmental significance. Parks Management provides management and implementation of open space strategies and maintenance programs. Infrastructure Maintenance provides management of all parks and gardens and infrastructure maintenance.</t>
  </si>
  <si>
    <r>
      <t xml:space="preserve">This service provides </t>
    </r>
    <r>
      <rPr>
        <b/>
        <u/>
        <sz val="10"/>
        <rFont val="Arial"/>
        <family val="2"/>
      </rPr>
      <t>waste collection</t>
    </r>
    <r>
      <rPr>
        <sz val="10"/>
        <rFont val="Arial"/>
        <family val="2"/>
      </rPr>
      <t xml:space="preserve"> including kerbside rubbish collections of garbage, hard waste and green waste from all households and some commercial properties in Council. It also provides street cleaning, leaf collection, weed removal, drainage pit cleaning and street litter bins throughout Council.</t>
    </r>
  </si>
  <si>
    <r>
      <t xml:space="preserve">This service provides public tipping to the Council and wider community and conducts ongoing maintenance of the Council’s 600km of </t>
    </r>
    <r>
      <rPr>
        <b/>
        <u/>
        <sz val="10"/>
        <rFont val="Arial"/>
        <family val="2"/>
      </rPr>
      <t>roads</t>
    </r>
    <r>
      <rPr>
        <sz val="10"/>
        <rFont val="Arial"/>
        <family val="2"/>
      </rPr>
      <t>, 2000km of drains and 1.6 million square metres of footpath.</t>
    </r>
  </si>
  <si>
    <r>
      <t xml:space="preserve">This service provides staff at school crossings throughout the municipality to ensure that all pedestrians, but mainly school aged children, are able to cross the road safely. It maintains and improves the health and safety of people, animals and the environment in Council by providing </t>
    </r>
    <r>
      <rPr>
        <b/>
        <u/>
        <sz val="10"/>
        <rFont val="Arial"/>
        <family val="2"/>
      </rPr>
      <t>animal management</t>
    </r>
    <r>
      <rPr>
        <sz val="10"/>
        <rFont val="Arial"/>
        <family val="2"/>
      </rPr>
      <t xml:space="preserve"> services including a cat trapping program, a dog and cat collection service, a lost and found notification service, a pound service, a registration and administration service, an afterhours service and an emergency service. It also provides education, regulation and enforcement of the General Local Law and relevant State legislation.</t>
    </r>
  </si>
  <si>
    <r>
      <t xml:space="preserve">This service protects the community’s health and well-being by coordinating </t>
    </r>
    <r>
      <rPr>
        <b/>
        <u/>
        <sz val="10"/>
        <rFont val="Arial"/>
        <family val="2"/>
      </rPr>
      <t>food safety</t>
    </r>
    <r>
      <rPr>
        <sz val="10"/>
        <rFont val="Arial"/>
        <family val="2"/>
      </rPr>
      <t xml:space="preserve"> support programs, Tobacco Act activities and smoke free dining and gaming venue issues. The service also works to rectify any public health concerns relating to unreasonable noise emissions, housing standards and pest controls.</t>
    </r>
  </si>
  <si>
    <t>Total services and initiatives</t>
  </si>
  <si>
    <t>Advocacy and leadership</t>
  </si>
  <si>
    <t>Capital contributions - other sources</t>
  </si>
  <si>
    <r>
      <t xml:space="preserve">Statutory fees relate mainly to fees and fines levied in accordance with legislation and include animal registrations, </t>
    </r>
    <r>
      <rPr>
        <i/>
        <sz val="10"/>
        <rFont val="Arial"/>
        <family val="2"/>
      </rPr>
      <t>Public Health and Wellbeing Act 2008</t>
    </r>
    <r>
      <rPr>
        <sz val="10"/>
        <rFont val="Arial"/>
        <family val="2"/>
      </rPr>
      <t xml:space="preserve"> registrations and parking fines. Increases in statutory fees are made in accordance with legislative requirements. </t>
    </r>
  </si>
  <si>
    <t xml:space="preserve">User charges relate mainly to the recovery of service delivery costs through the charging of fees to users of Council’s services. These include separate rating schemes, use of leisure, entertainment and other community facilities and the provision of human services such as family day care and home help services. In setting the budget, the key principle for determining the level of user charges has been to ensure that increases do not exceed CPI increases or market levels. </t>
  </si>
  <si>
    <t xml:space="preserve">Contributions relate to monies paid by developers in regard to public resort and recreation, drainage and car parking in accordance with planning permits issued for property development. </t>
  </si>
  <si>
    <t>A summary of the number of full time equivalent (FTE) Council staff in relation to the above expenditure is included below:</t>
  </si>
  <si>
    <t>These funds are free of all specific Council commitments and represent funds available to meet daily cash flow requirements, unexpected short term needs and any budget commitments which will be expended in the following year such as grants and contributions.  Council regards these funds as the minimum necessary to ensure that it can meet its commitments as and when they fall due without borrowing further funds.</t>
  </si>
  <si>
    <t>The property class comprises buildings and building improvements including community facilities, municipal offices, sports facilities and pavilions.</t>
  </si>
  <si>
    <t>Plant and equipment includes plant, machinery and equipment, computers and telecommunications, and library books.</t>
  </si>
  <si>
    <t>Infrastructure includes roads, bridges, footpaths and cycleways, drainage, recreation, leisure and community facilities, parks, open space and streetscapes, off street car parks and other structures.</t>
  </si>
  <si>
    <t>A distinction is made between expenditure on new assets, asset renewal, upgrade and expansion. Expenditure on asset renewal is expenditure on an existing asset, or on replacing an existing asset that returns the service of the asset to its original capability. Expenditure on new assets does not have any element of expansion or upgrade of existing assets but will result in an additional burden for future operation, maintenance and capital renewal.</t>
  </si>
  <si>
    <t xml:space="preserve">The major projects included in the above categories, which constitute expenditure on new assets, are the Victorian Community Facility ($1.20 million), construction of a Velodrome and State Bowls Centre at Victoria Park ($4.00 million) and information technology purchases ($1.11 million). The remaining capital expenditure represents renewals and expansion/upgrades of existing assets.
</t>
  </si>
  <si>
    <t>Capital grants include all monies received from State and Federal sources for the purposes of funding the capital works program. Significant grants and contributions are budgeted to be received for the State Bowls Centre and Training Velodrome ($4.00 million), Roads to Recovery projects ($0.81 million), Victoria Park Lake ($0.43 million) and Compressed Natural Gas Conversion ($0.34 million).</t>
  </si>
  <si>
    <t>The key objective, which underlines the development of the SRP, is financial sustainability in the medium to long term, while still achieving Council’s strategic objectives as specified in the Council Plan. The key financial objectives, which underpin the SRP, are:</t>
  </si>
  <si>
    <t>The SRP is updated annually through a rigorous process of consultation with Council service providers followed by a detailed sensitivity analysis to achieve the key financial objectives.</t>
  </si>
  <si>
    <t>Cash and investments balance</t>
  </si>
  <si>
    <t>Capital works expenditure</t>
  </si>
  <si>
    <r>
      <t xml:space="preserve">5 Rates concentration - </t>
    </r>
    <r>
      <rPr>
        <sz val="10"/>
        <rFont val="Arial"/>
        <family val="2"/>
      </rPr>
      <t>Reflects extent of reliance on rate revenues to fund all of Council's on-going services. Trend indicates Council will become more reliant on rate revenue compared to all other revenue sources.</t>
    </r>
  </si>
  <si>
    <r>
      <t xml:space="preserve">4 Asset renewal - </t>
    </r>
    <r>
      <rPr>
        <sz val="10"/>
        <rFont val="Arial"/>
        <family val="2"/>
      </rPr>
      <t>This percentage indicates the extent of Council's renewals against its depreciation charge (an indication of the decline in value of its existing capital assets). A percentage greater than 100 indicates Council is maintaining its existing assets, while a percentage less than 100 means its assets are deteriorating faster than they are being renewed and future capital expenditure will be required to renew assets.</t>
    </r>
  </si>
  <si>
    <t>The existing rating structure comprises two differential rates (residential and commercial), and a rate concession for recreational land. These rates are structured in accordance with the requirements of Section 161 ‘Differential Rates’ of the Act. Under the Cultural and Recreational Lands Act 1963, provision is made for a Council to levy the rate for recreational lands at “such amount as the municipal council thinks reasonable having regard to the services provided by the municipal council in relation to such lands and having regard to the benefit to the community derived from such recreational lands”. The commercial rate is set at 175% of the residential rate and the rate concession for recreational land is set at 50% of the commercial rate. Council also levies a municipal charge, a kerbside collection charge and a recycling charge as allowed under the Act.</t>
  </si>
  <si>
    <t>The Council has developed an Infrastructure Strategy based on the knowledge provided by various Asset Management Plans, which sets out the capital expenditure requirements of Council for the next 10 years by class of asset, and is a key input to the SRP. It predicts infrastructure consumption, renewal needs and considers infrastructure needs to meet future community service expectations. The Strategy has been developed through a rigorous process of consultation and evaluation. The key aspects of the process are as follows:</t>
  </si>
  <si>
    <t>2018/19</t>
  </si>
  <si>
    <t xml:space="preserve">In addition to using cash generated from its annual operations, borrowings and external contributions such as government grants, Council has significant cash or investment reserves that are also used to fund a variety of capital projects. These reserves are either ‘statutory’ or ’discretionary’ cash reserves. Statutory reserves relate to cash and investments held by Council that must be expended on a specific purpose as directed by legislation or a funding body, and include contributions to car parking, drainage and public resort and recreation. Discretionary cash reserves relate to those cash and investment balances that have been set aside by Council and can be used at Council’s discretion, even though they may be earmarked for a specific purpose. </t>
  </si>
  <si>
    <t>Fair value adjustments for investment property</t>
  </si>
  <si>
    <t>Net asset revaluation increment /(decrement)</t>
  </si>
  <si>
    <t>Assets</t>
  </si>
  <si>
    <t>Inventories</t>
  </si>
  <si>
    <t>Investment property</t>
  </si>
  <si>
    <t>Intangible assets</t>
  </si>
  <si>
    <t>Liabilities</t>
  </si>
  <si>
    <t>Trust funds and deposits</t>
  </si>
  <si>
    <t>Reserves</t>
  </si>
  <si>
    <t>Net GST refund / payment</t>
  </si>
  <si>
    <t>Total land</t>
  </si>
  <si>
    <t>Leasehold improvements</t>
  </si>
  <si>
    <t>Heritage buildings</t>
  </si>
  <si>
    <t>Total buildings</t>
  </si>
  <si>
    <t>Total property</t>
  </si>
  <si>
    <t>Heritage plant and equipment</t>
  </si>
  <si>
    <t>Total plant and equipment</t>
  </si>
  <si>
    <t>Recreational, leisure and community facilities</t>
  </si>
  <si>
    <t>Aerodromes</t>
  </si>
  <si>
    <t>Other infrastructure</t>
  </si>
  <si>
    <t>Total infrastructure</t>
  </si>
  <si>
    <t>New asset expenditure</t>
  </si>
  <si>
    <t>Asset expansion expenditure</t>
  </si>
  <si>
    <t>Asset upgrade expenditure</t>
  </si>
  <si>
    <t>Staff expenditure</t>
  </si>
  <si>
    <t>Employee costs - operating</t>
  </si>
  <si>
    <t>Employee costs - capital</t>
  </si>
  <si>
    <t xml:space="preserve">Total staff expenditure </t>
  </si>
  <si>
    <t>EFT</t>
  </si>
  <si>
    <t>Staff numbers</t>
  </si>
  <si>
    <t>Employees</t>
  </si>
  <si>
    <t>Total staff numbers</t>
  </si>
  <si>
    <t>Type or class of land</t>
  </si>
  <si>
    <t>General rate for rateable industrial properties</t>
  </si>
  <si>
    <t xml:space="preserve">Commercial </t>
  </si>
  <si>
    <t>Industrial</t>
  </si>
  <si>
    <t>Total amount to be raised by general rates</t>
  </si>
  <si>
    <t>Total value of land</t>
  </si>
  <si>
    <t>Type of Charge</t>
  </si>
  <si>
    <t>There are no known significant changes which may affect the estimated amounts to be raised by rates and charges. However, the total amount to be raised by rates and charges may be affected by:</t>
  </si>
  <si>
    <t>Summary of funding sources</t>
  </si>
  <si>
    <t>Cash</t>
  </si>
  <si>
    <t xml:space="preserve">Other buildings </t>
  </si>
  <si>
    <t>TOTAL PROPERTY</t>
  </si>
  <si>
    <t>TOTAL PLANT AND EQUIPMENT</t>
  </si>
  <si>
    <t xml:space="preserve">Drains - roads </t>
  </si>
  <si>
    <t>Other open space</t>
  </si>
  <si>
    <t>TOTAL INFRASTRUCTURE</t>
  </si>
  <si>
    <r>
      <t>Capital Works Area</t>
    </r>
    <r>
      <rPr>
        <sz val="10"/>
        <color indexed="9"/>
        <rFont val="Arial"/>
        <family val="2"/>
      </rPr>
      <t> </t>
    </r>
  </si>
  <si>
    <t>Other buildings</t>
  </si>
  <si>
    <t>Comprises</t>
  </si>
  <si>
    <t>Part Time</t>
  </si>
  <si>
    <t>Full Time</t>
  </si>
  <si>
    <t>Asset Management</t>
  </si>
  <si>
    <t>Corporate Services</t>
  </si>
  <si>
    <t>Culture and Leisure</t>
  </si>
  <si>
    <t>Environment and Amenity</t>
  </si>
  <si>
    <t>Strategy and Governance</t>
  </si>
  <si>
    <t>FTE</t>
  </si>
  <si>
    <t>Department</t>
  </si>
  <si>
    <t>Home Services</t>
  </si>
  <si>
    <t>Maternal and child health</t>
  </si>
  <si>
    <t>Adjusted underlying surplus (deficit) / Adjusted underlying revenue</t>
  </si>
  <si>
    <t>Current assets / current liabilities</t>
  </si>
  <si>
    <t>Unrestricted cash / current liabilities</t>
  </si>
  <si>
    <t>Interest bearing loans and borrowings / rate revenue</t>
  </si>
  <si>
    <t>Non-current liabilities / own source revenue</t>
  </si>
  <si>
    <t>Asset renewal expenditure / depreciation</t>
  </si>
  <si>
    <t>Rate revenue / adjusted underlying revenue</t>
  </si>
  <si>
    <t>General</t>
  </si>
  <si>
    <t>Municipal</t>
  </si>
  <si>
    <t>Charge</t>
  </si>
  <si>
    <t>Garbage</t>
  </si>
  <si>
    <t>Rates</t>
  </si>
  <si>
    <t>Total amount borrowed as at 30 June of the prior year</t>
  </si>
  <si>
    <t>Total amount projected to be redeemed</t>
  </si>
  <si>
    <t xml:space="preserve">Summary of funding sources
</t>
  </si>
  <si>
    <t>Balance at beginning of the financial year</t>
  </si>
  <si>
    <t>Balance at end of the financial year</t>
  </si>
  <si>
    <t>Accumulated Surplus</t>
  </si>
  <si>
    <t>Revaluation Reserve</t>
  </si>
  <si>
    <t>Other Reserves</t>
  </si>
  <si>
    <t>A summary of human resources expenditure categorised according to the organisational structure of Council is included below:</t>
  </si>
  <si>
    <t>Jan/Feb</t>
  </si>
  <si>
    <t>Customer &amp; Civic Services</t>
  </si>
  <si>
    <t>Performance Support</t>
  </si>
  <si>
    <t>Urban Development</t>
  </si>
  <si>
    <t>Parks and Gardens</t>
  </si>
  <si>
    <t>Environmental Services</t>
  </si>
  <si>
    <t>Roads &amp; Resource Recovery</t>
  </si>
  <si>
    <t>Environmental Planning</t>
  </si>
  <si>
    <t>Amenity</t>
  </si>
  <si>
    <t>Building Services</t>
  </si>
  <si>
    <t>Adjusted underlying surplus (deficit)</t>
  </si>
  <si>
    <t xml:space="preserve">Participation in the MCH service
(Percentage of children enrolled who participate in the MCH service)
</t>
  </si>
  <si>
    <t>[Number of children who attend the MCH service at least once (in the year) / Number of children enrolled in the MCH service] x100</t>
  </si>
  <si>
    <t xml:space="preserve">Participation in MCH service by Aboriginal children
(Percentage of Aboriginal children enrolled who participate in the MCH service)
</t>
  </si>
  <si>
    <t>[Number of Aboriginal children who attend the MCH service at least once (in the year) / Number of Aboriginal children enrolled in the MCH service] x100</t>
  </si>
  <si>
    <t>Aquatic Facilities</t>
  </si>
  <si>
    <t xml:space="preserve">Utilisation of aquatic facilities
(Number of visits to aquatic facilities per head of municipal population)
</t>
  </si>
  <si>
    <t>Number of visits to aquatic facilities / Municipal population</t>
  </si>
  <si>
    <t xml:space="preserve">Council planning decisions upheld at VCAT
(Percentage of planning application decisions subject to review by VCAT and that were not set aside)
</t>
  </si>
  <si>
    <t>[Number of VCAT decisions that did not set aside Council’s decision in relation to a planning application / Number of VCAT decisions in relation to planning applications] x100</t>
  </si>
  <si>
    <t>Interest and principal repayments on interest bearing loans and borrowings / rate revenue</t>
  </si>
  <si>
    <t>Rate revenue / CIV of rateable properties in the municipality</t>
  </si>
  <si>
    <t>Total expenditure / no. of property assessments</t>
  </si>
  <si>
    <t>Residential rate revenue / No. of residential property assessments</t>
  </si>
  <si>
    <t>No. of permanent staff resignations &amp; terminations / average no. of permanent staff for the financial year</t>
  </si>
  <si>
    <t>Casuals and other expenditure</t>
  </si>
  <si>
    <t>Total expenditure</t>
  </si>
  <si>
    <t>Casuals and other</t>
  </si>
  <si>
    <t>Total staff</t>
  </si>
  <si>
    <t>Total permanent staff expenditure</t>
  </si>
  <si>
    <t>Unrestricted cash adjusted for discretionary reserves</t>
  </si>
  <si>
    <t>These funds must be applied for specified statutory purposes in accordance with various legislative requirements. While these funds earn interest revenues for Council, the funds are not available for other purposes.</t>
  </si>
  <si>
    <t xml:space="preserve">The amount shown is in accordance with the definition of unrestricted cash included in the Regulations.  These funds are free of statutory reserve funds and cash to be used to fund capital works expenditure from the previous financial year.  </t>
  </si>
  <si>
    <t xml:space="preserve"> - Cash used to fund carry forward capital works</t>
  </si>
  <si>
    <t>Unrestricted working capital</t>
  </si>
  <si>
    <t>New</t>
  </si>
  <si>
    <t>Renewal</t>
  </si>
  <si>
    <t>Upgrade</t>
  </si>
  <si>
    <t>Expansion</t>
  </si>
  <si>
    <t>Asset expenditure type</t>
  </si>
  <si>
    <t>Project cost</t>
  </si>
  <si>
    <t>Land Improvements</t>
  </si>
  <si>
    <t>Total Buildings</t>
  </si>
  <si>
    <t>Total Building Improvements</t>
  </si>
  <si>
    <t>Plant, Machinery and Equipment</t>
  </si>
  <si>
    <t>Total Plant, Machinery and Equipment</t>
  </si>
  <si>
    <t>Fixtures, Fittings and Furniture</t>
  </si>
  <si>
    <t>Computers and Telecommunications</t>
  </si>
  <si>
    <t>Total Computers and Telecommunications</t>
  </si>
  <si>
    <t>Heritage Plant and Equipment</t>
  </si>
  <si>
    <t>Library Books</t>
  </si>
  <si>
    <t>Total Library Books</t>
  </si>
  <si>
    <t>Total roads</t>
  </si>
  <si>
    <t>Total Bridges</t>
  </si>
  <si>
    <t>Footpaths and Cycleways</t>
  </si>
  <si>
    <t>Total Footpaths and Cycleways</t>
  </si>
  <si>
    <t>Total Drainage</t>
  </si>
  <si>
    <t>Recreational, Leisure and Community Facilities</t>
  </si>
  <si>
    <t>Parks, Open Space and Streetscapes</t>
  </si>
  <si>
    <t>Total Parks, Open Space and Streetscapes</t>
  </si>
  <si>
    <t>Off Street Car Parks</t>
  </si>
  <si>
    <t>Total Off Street Car Parks</t>
  </si>
  <si>
    <t>Other Infrastructure</t>
  </si>
  <si>
    <t>Total Other Infrastructure</t>
  </si>
  <si>
    <t>Waste Management</t>
  </si>
  <si>
    <t xml:space="preserve">Recurrent - Commonwealth Government </t>
  </si>
  <si>
    <t>Family day care</t>
  </si>
  <si>
    <t>General home care</t>
  </si>
  <si>
    <t>Recurrent - State Government</t>
  </si>
  <si>
    <t>Primary care partnerships</t>
  </si>
  <si>
    <t>Aged care</t>
  </si>
  <si>
    <t>School crossing supervisors</t>
  </si>
  <si>
    <t>Recreation</t>
  </si>
  <si>
    <t>Community safety</t>
  </si>
  <si>
    <t>Total recurrent grants</t>
  </si>
  <si>
    <t>Non-recurrent - Commonwealth Government</t>
  </si>
  <si>
    <t>Drainage maintenance</t>
  </si>
  <si>
    <t>Environmental planning</t>
  </si>
  <si>
    <t>Non-recurrent - State Government</t>
  </si>
  <si>
    <t>Community health</t>
  </si>
  <si>
    <t>Family and children</t>
  </si>
  <si>
    <t>Total non-recurrent grants</t>
  </si>
  <si>
    <t>Roads to Recovery</t>
  </si>
  <si>
    <t xml:space="preserve">Non-recurrent - Commonwealth Government </t>
  </si>
  <si>
    <t>Plant and machinery</t>
  </si>
  <si>
    <t>Footpaths</t>
  </si>
  <si>
    <t>Service area</t>
  </si>
  <si>
    <t xml:space="preserve">Participation in HACC service
(Percentage of the municipal target population who receive a HACC service)
</t>
  </si>
  <si>
    <t xml:space="preserve">Participation in HACC service by CALD people
(Percentage of the municipal target population in relation to CALD people who receive a HACC service)
</t>
  </si>
  <si>
    <t>- Trust funds and deposits</t>
  </si>
  <si>
    <t xml:space="preserve"> - Trust funds and deposits</t>
  </si>
  <si>
    <t>2019/20</t>
  </si>
  <si>
    <t>SRP2018/19</t>
  </si>
  <si>
    <t>SRP2019</t>
  </si>
  <si>
    <t>This section describes how the Annual Budget links to the achievement of the Council Plan within an overall planning and reporting framework. This framework guides the Council in identifying community needs and aspirations over the long term (Vision 2030), medium term (Council Plan) and short term (Annual Budget) and then holding itself accountable (Annual Report).</t>
  </si>
  <si>
    <t>The Strategic Resource Plan, is part of and prepared in conjunction with the Council Plan, and is a rolling four year plan that outlines the financial and non-financial resources that Council requires to achieve the strategic objectives described in the Council Plan. The Annual Budget is framed within the Strategic Resource Plan, taking into account the services and initiatives which contribute to achieving the strategic objectives specified in the Council Plan. The diagram below depicts the planning and accountability framework that applies to local government in Victoria.</t>
  </si>
  <si>
    <t>1.1  Planning and accountability framework</t>
  </si>
  <si>
    <r>
      <t xml:space="preserve">Services for which there are prescribed performance indicators to be reported on in accordance with the Regulations are shown in </t>
    </r>
    <r>
      <rPr>
        <b/>
        <sz val="10"/>
        <rFont val="Arial"/>
        <family val="2"/>
      </rPr>
      <t>bold</t>
    </r>
    <r>
      <rPr>
        <sz val="10"/>
        <rFont val="Arial"/>
        <family val="2"/>
      </rPr>
      <t xml:space="preserve"> and </t>
    </r>
    <r>
      <rPr>
        <u/>
        <sz val="10"/>
        <rFont val="Arial"/>
        <family val="2"/>
      </rPr>
      <t>underlined</t>
    </r>
    <r>
      <rPr>
        <sz val="10"/>
        <rFont val="Arial"/>
        <family val="2"/>
      </rPr>
      <t xml:space="preserve"> in the following sections.</t>
    </r>
  </si>
  <si>
    <r>
      <t>1)</t>
    </r>
    <r>
      <rPr>
        <sz val="7"/>
        <rFont val="Times New Roman"/>
        <family val="1"/>
      </rPr>
      <t xml:space="preserve">         </t>
    </r>
    <r>
      <rPr>
        <sz val="10"/>
        <rFont val="Arial"/>
        <family val="2"/>
      </rPr>
      <t>Additional funding to the Community Grants program which is the first additional funding for some years for this significant community program. ($0.44 million net cost)</t>
    </r>
  </si>
  <si>
    <r>
      <t>2)</t>
    </r>
    <r>
      <rPr>
        <sz val="7"/>
        <rFont val="Times New Roman"/>
        <family val="1"/>
      </rPr>
      <t xml:space="preserve">         </t>
    </r>
    <r>
      <rPr>
        <sz val="10"/>
        <rFont val="Arial"/>
        <family val="2"/>
      </rPr>
      <t>The recommendations from the Poverty Inquiry will be implemented with a responsible gambling charter to be developed with gambling agencies in Council to ensure the promotion of responsible gambling among Council residents.  Also, further dialogue will occur with the State Government to address adverse impacts of gambling in the municipality. ($Nil net cost)</t>
    </r>
  </si>
  <si>
    <r>
      <t>3)</t>
    </r>
    <r>
      <rPr>
        <sz val="7"/>
        <rFont val="Times New Roman"/>
        <family val="1"/>
      </rPr>
      <t xml:space="preserve">         </t>
    </r>
    <r>
      <rPr>
        <sz val="10"/>
        <rFont val="Arial"/>
        <family val="2"/>
      </rPr>
      <t>Council’s Friendship City Relationship with East Timor will be realised through the commencement of several projects to assist the rebuilding of community and basic infrastructure in East Timor. ($Nil net cost)</t>
    </r>
  </si>
  <si>
    <t>The following indicator outlines how we intend to measure achievement of service objectives.</t>
  </si>
  <si>
    <r>
      <t>5)</t>
    </r>
    <r>
      <rPr>
        <sz val="7"/>
        <rFont val="Times New Roman"/>
        <family val="1"/>
      </rPr>
      <t xml:space="preserve">         </t>
    </r>
    <r>
      <rPr>
        <sz val="10"/>
        <rFont val="Arial"/>
        <family val="2"/>
      </rPr>
      <t>Resourcing of the Employment Strategy will see the engagement of a part time employment co-ordinator to ensure that Council gains its fair share of employment programs and is able to respond to employment and training issues in the municipality.  Resources also include provision for Council’s participation in the State Government’s Community Jobs Program and also the implementation of recommendations arising from the Employment Strategy.  ($0.18 million net cost)</t>
    </r>
  </si>
  <si>
    <t>The following indicators outlines how we intend to measure achievement of service objectives.</t>
  </si>
  <si>
    <r>
      <t>12)</t>
    </r>
    <r>
      <rPr>
        <sz val="7"/>
        <rFont val="Times New Roman"/>
        <family val="1"/>
      </rPr>
      <t>        </t>
    </r>
    <r>
      <rPr>
        <sz val="10"/>
        <rFont val="Arial"/>
        <family val="2"/>
      </rPr>
      <t>Significant advances will be made in the further development of the Geographic Information System (GIS).  Additionally, public access to the GIS will become operational during this calendar year, as will the commissioning of the Community (Internet) Portal and community email facilities.  These initiatives will place Council firmly at the forefront of local governments in Victoria and Australia for electronic public access to service information and facilities. ($Nil net cost)</t>
    </r>
  </si>
  <si>
    <r>
      <t>13)</t>
    </r>
    <r>
      <rPr>
        <sz val="7"/>
        <rFont val="Times New Roman"/>
        <family val="1"/>
      </rPr>
      <t xml:space="preserve">         </t>
    </r>
    <r>
      <rPr>
        <sz val="10"/>
        <rFont val="Arial"/>
        <family val="2"/>
      </rPr>
      <t>Alternative payment options will be phased in during the year which will allow the following accounts to be paid at Australia Post via internet, phone and over-the-counter using cash, cheque, credit card and debit card – rates, homecare, family day care, meals, home maintenance, holiday program, animal registrations, parking fines and sundry debtors. ($Nil net cost)</t>
    </r>
  </si>
  <si>
    <r>
      <t>14)</t>
    </r>
    <r>
      <rPr>
        <sz val="7"/>
        <rFont val="Times New Roman"/>
        <family val="1"/>
      </rPr>
      <t xml:space="preserve">         </t>
    </r>
    <r>
      <rPr>
        <sz val="10"/>
        <rFont val="Arial"/>
        <family val="2"/>
      </rPr>
      <t>Customer service facilities will be provided at the new Victorian Community Centre following its completion. ($0.11 million net cost)</t>
    </r>
  </si>
  <si>
    <r>
      <t>15)</t>
    </r>
    <r>
      <rPr>
        <sz val="7"/>
        <rFont val="Times New Roman"/>
        <family val="1"/>
      </rPr>
      <t xml:space="preserve">         </t>
    </r>
    <r>
      <rPr>
        <sz val="10"/>
        <rFont val="Arial"/>
        <family val="2"/>
      </rPr>
      <t>Fifteen of Council services will be going through a review under Council’s continuous improvement program, which will include consultation with stakeholders and the development of service standards and commitments for these services. ($Nil net cost)</t>
    </r>
  </si>
  <si>
    <r>
      <t>19)</t>
    </r>
    <r>
      <rPr>
        <sz val="7"/>
        <rFont val="Times New Roman"/>
        <family val="1"/>
      </rPr>
      <t xml:space="preserve">         </t>
    </r>
    <r>
      <rPr>
        <sz val="10"/>
        <rFont val="Arial"/>
        <family val="2"/>
      </rPr>
      <t>Arboriculture maintenance in Council equates to in excess of 80% of customer enquiries related to Council parks.  As a result, an additional two employees will be recruited to continue with the delivery of this service.  The contract allocation for Arboriculture Maintenance has also been increased to allow for additional line clearance within the municipality, in fill planting, stump removal and other tree maintenance costs. ($0.15 million net cost)</t>
    </r>
  </si>
  <si>
    <r>
      <t>21)</t>
    </r>
    <r>
      <rPr>
        <sz val="7"/>
        <rFont val="Times New Roman"/>
        <family val="1"/>
      </rPr>
      <t xml:space="preserve">         </t>
    </r>
    <r>
      <rPr>
        <sz val="10"/>
        <rFont val="Arial"/>
        <family val="2"/>
      </rPr>
      <t>An extra position is included to implement the storm water management program and coordinate the implementation of the Victorian Park Lake water quality and weir works, including further funding work and community liaison. The position will be a two year role in line with the lake timescale. An additional $0.05 million is also included in this year’s budget for the environmental monitoring of the old landfill gas and leachate. ($0.08 million net cost)</t>
    </r>
  </si>
  <si>
    <r>
      <t>22)</t>
    </r>
    <r>
      <rPr>
        <sz val="7"/>
        <rFont val="Times New Roman"/>
        <family val="1"/>
      </rPr>
      <t xml:space="preserve">         </t>
    </r>
    <r>
      <rPr>
        <sz val="10"/>
        <rFont val="Arial"/>
        <family val="2"/>
      </rPr>
      <t>The number of Local Laws enquiries has increased, as has the number of abandoned vehicles, the number of permits and corresponding fines. The sharing of an administration officer with the School Crossing Unit has slightly reduced the expenditure in this area, which combined with the extra predicted income, enables one extra Local Law officer to be employed with no net budget implications. (Nil net cost)</t>
    </r>
  </si>
  <si>
    <r>
      <t>23)</t>
    </r>
    <r>
      <rPr>
        <sz val="7"/>
        <rFont val="Times New Roman"/>
        <family val="1"/>
      </rPr>
      <t xml:space="preserve">         </t>
    </r>
    <r>
      <rPr>
        <sz val="10"/>
        <rFont val="Arial"/>
        <family val="2"/>
      </rPr>
      <t>In recent years the Building Supervisor’s role has increased in scope and volume. This includes mandatory tasks related to: site dispensation and consents, smoke detector and swimming pool fencing. Additionally complaints and enforcement requests for work carried out by private building supervisors and general complaints related to urban consolidation have increased. This budget sees the development of two new positions, an additional building supervisor and a building enforcement officer to address these issues. ($0.03 million net cost)</t>
    </r>
  </si>
  <si>
    <t>The following indicators outlines how we intend to measure achievement of service objectives</t>
  </si>
  <si>
    <t>Contributions - monetary</t>
  </si>
  <si>
    <t>Borrowing costs</t>
  </si>
  <si>
    <t xml:space="preserve">Share of other comprehensive income of associates and joint ventures </t>
  </si>
  <si>
    <r>
      <t xml:space="preserve">Items that may be reclassified to surplus or deficit in future periods
</t>
    </r>
    <r>
      <rPr>
        <sz val="10"/>
        <rFont val="Arial"/>
        <family val="2"/>
      </rPr>
      <t>(detail as appropriate)</t>
    </r>
  </si>
  <si>
    <t>Total comprehensive result</t>
  </si>
  <si>
    <t>Other financial assets</t>
  </si>
  <si>
    <t>Non-current assets classified as held for sale</t>
  </si>
  <si>
    <t>Investments in associates and joint ventures</t>
  </si>
  <si>
    <t>Net asset revaluation increment/(decrement)</t>
  </si>
  <si>
    <t>Interest received</t>
  </si>
  <si>
    <t>Dividends received</t>
  </si>
  <si>
    <t>Trust funds and deposits taken</t>
  </si>
  <si>
    <t>Trust funds and deposits repaid</t>
  </si>
  <si>
    <t xml:space="preserve">Net cash provided by/(used in) operating activities </t>
  </si>
  <si>
    <t>Payments for investments</t>
  </si>
  <si>
    <t>Proceeds from sale of investments</t>
  </si>
  <si>
    <t>Loan and advances made</t>
  </si>
  <si>
    <t xml:space="preserve">Payments of loans and advances </t>
  </si>
  <si>
    <t xml:space="preserve">Net cash provided by/(used in) financing activities </t>
  </si>
  <si>
    <t xml:space="preserve">Payments for property, infrastructure, plant &amp; equip. </t>
  </si>
  <si>
    <t>Proceeds from investments</t>
  </si>
  <si>
    <t>Loans and advances made</t>
  </si>
  <si>
    <t>Loss (gain) on disposal of property, infrastructure, plant &amp; equipment</t>
  </si>
  <si>
    <t>Net gain/(loss) on disposal of property, infrastructure, plant and equipment</t>
  </si>
  <si>
    <t>Total Land</t>
  </si>
  <si>
    <t>Industrial rates</t>
  </si>
  <si>
    <t>Total amount proposed to be borrowed</t>
  </si>
  <si>
    <t>Total amount of borrowings as at 30 June</t>
  </si>
  <si>
    <r>
      <t xml:space="preserve">[Number of businesses with an ABN in the municipality at the end of the financial year </t>
    </r>
    <r>
      <rPr>
        <i/>
        <sz val="10"/>
        <rFont val="Arial"/>
        <family val="2"/>
      </rPr>
      <t xml:space="preserve">less </t>
    </r>
    <r>
      <rPr>
        <sz val="10"/>
        <rFont val="Arial"/>
        <family val="2"/>
      </rPr>
      <t xml:space="preserve">the number of businesses at the start of the financial year / Number of businesses with an ABN in the municipality at the start of the financial year] x 100
</t>
    </r>
  </si>
  <si>
    <t>10)        A major step forward in the improvement of Council’s Multilingual Communication Service to meet the needs of a non-English speaking background community including a major redevelopment of Council’s multilingual website and other communication services ($0.05 million net cost).</t>
  </si>
  <si>
    <t>Total operating grants</t>
  </si>
  <si>
    <t>Total capital grants</t>
  </si>
  <si>
    <t>Capitalised labour costs</t>
  </si>
  <si>
    <t>User fees and fines</t>
  </si>
  <si>
    <t xml:space="preserve">Net cash provided by operating activities </t>
  </si>
  <si>
    <t xml:space="preserve">Net cash used in financing activities </t>
  </si>
  <si>
    <t xml:space="preserve">Cash and cash equivalents at the beginning of the year </t>
  </si>
  <si>
    <t>Proceeds from sale of property, infrastructure, plant &amp; equipment</t>
  </si>
  <si>
    <t>Repayments of loans and advances</t>
  </si>
  <si>
    <t xml:space="preserve">Net cash used in investing activities </t>
  </si>
  <si>
    <t>Working capital is the excess of current assets above current liabilities.  This calculation recognises that although Council has current assets, some of those assets are already committed to the future settlement of liabilities in the following 12 months, and are therefore not available for discretionary spending.
Some of Council’s cash assets are restricted in that they are required by legislation to be held in reserve for specific purposes or are held to fund carry forward capital works from the previous financial year.</t>
  </si>
  <si>
    <t xml:space="preserve"> +  Forecasts improvement in Council's financial performance/financial position indicator</t>
  </si>
  <si>
    <t xml:space="preserve"> o  Forecasts that Council's financial performance/financial position indicator will be steady</t>
  </si>
  <si>
    <t xml:space="preserve">  -  Forecasts deterioration in Council's financial performance/financial position indicator</t>
  </si>
  <si>
    <t>Grants - Operating</t>
  </si>
  <si>
    <t>Grants - Capital</t>
  </si>
  <si>
    <t>Contributions - non-monetary</t>
  </si>
  <si>
    <t xml:space="preserve">Share of net profits/(losses) of associates and joint ventures </t>
  </si>
  <si>
    <t>Transfer to other reserves</t>
  </si>
  <si>
    <t>Transfer from other reserves</t>
  </si>
  <si>
    <t xml:space="preserve">Payments for property, infrastructure, plant and equipment </t>
  </si>
  <si>
    <t xml:space="preserve">Proceeds from sale of property, infrastructure, plant and equipment </t>
  </si>
  <si>
    <t xml:space="preserve">Net cash provided by/ (used in) investing activities </t>
  </si>
  <si>
    <t xml:space="preserve">Net increase/(decrease) in cash &amp; cash equivalents </t>
  </si>
  <si>
    <t xml:space="preserve">Cash and cash equivalents at the end of the financial year </t>
  </si>
  <si>
    <t>General rates</t>
  </si>
  <si>
    <t>Kerbside collection and recycling</t>
  </si>
  <si>
    <t>SRP2019/20</t>
  </si>
  <si>
    <t>SRP2020</t>
  </si>
  <si>
    <t>1. Link to the Council Plan</t>
  </si>
  <si>
    <t>Reference</t>
  </si>
  <si>
    <t>Section 127 (2) ©</t>
  </si>
  <si>
    <t>Section 127 (2) (b)</t>
  </si>
  <si>
    <t>Section 127 (2) (d)</t>
  </si>
  <si>
    <t>Section 127 (2) (da) to (db)</t>
  </si>
  <si>
    <t>This section includes the following financial statements in accordance with the Local Government Act 1989 and the Local Government Model Financial Report.</t>
  </si>
  <si>
    <t>Section 127 (2) (a) and Regulation 9</t>
  </si>
  <si>
    <t>Regulation 10(1) (d-e)</t>
  </si>
  <si>
    <t>Regulation 10 (1) (f)</t>
  </si>
  <si>
    <t>Regulation 10 (1)(b)</t>
  </si>
  <si>
    <t>Executive Summary</t>
  </si>
  <si>
    <t>11.   Analysis of budgeted cash position</t>
  </si>
  <si>
    <t>12.   Analysis of capital budget</t>
  </si>
  <si>
    <t>13.   Analysis of budgeted financial position</t>
  </si>
  <si>
    <t>A   Fees and charges schedule</t>
  </si>
  <si>
    <t>Section 158 and 
Reg. 10(2)(a) &amp; (2)(b)</t>
  </si>
  <si>
    <t>Reg. 10 (2)(d)</t>
  </si>
  <si>
    <t>Reg. 10 (2)€ and (2)(f)</t>
  </si>
  <si>
    <t>Reg. 10 (2)(g)</t>
  </si>
  <si>
    <t>Reg. 10 (2)(h) and (2)(i)</t>
  </si>
  <si>
    <t>Reg. 10 (2)®</t>
  </si>
  <si>
    <t>Reg.  10 (2)(q)</t>
  </si>
  <si>
    <t>Reg. 10 (2)(0) and (2)(p)</t>
  </si>
  <si>
    <t>Section 159
Reg. 10 (2)(j) and (2)(k)</t>
  </si>
  <si>
    <t>Reg. 10 (2)(l)</t>
  </si>
  <si>
    <t>Reg. 10 (2)(m) and (2)(n)</t>
  </si>
  <si>
    <t>Section 127, Section 161 and 161A</t>
  </si>
  <si>
    <t>Regulation 10 (1) (g) and (i)</t>
  </si>
  <si>
    <t>2. Services and service performance indicators</t>
  </si>
  <si>
    <t>1.   Link to the Council Plan</t>
  </si>
  <si>
    <t>2.   Services and service performance indicators</t>
  </si>
  <si>
    <t>3.   Financial Statements</t>
  </si>
  <si>
    <t>4.   Financial performance indicators</t>
  </si>
  <si>
    <t>6.   Detailed list of capital works</t>
  </si>
  <si>
    <t>7.   Rates and charges</t>
  </si>
  <si>
    <t>3. Financial Statements</t>
  </si>
  <si>
    <t>3.2       Balance Sheet</t>
  </si>
  <si>
    <t>3.3       Statement of Changes in Equity</t>
  </si>
  <si>
    <t>3.4       Statement of Cash Flows</t>
  </si>
  <si>
    <t>3.5       Statement of Capital Works</t>
  </si>
  <si>
    <t>4. Financial performance indicators</t>
  </si>
  <si>
    <t>5. Other budget information (required by the Regulations)</t>
  </si>
  <si>
    <t xml:space="preserve">This section presents other budget related information required by the Regulations.  </t>
  </si>
  <si>
    <t>This section includes the following statements and reports</t>
  </si>
  <si>
    <t>6. Capital works program</t>
  </si>
  <si>
    <t>7. Rates and charges</t>
  </si>
  <si>
    <t>7.1  The rate in the dollar to be levied as general rates under section 158 of the Act for each type or class of land compared with the previous financial year</t>
  </si>
  <si>
    <t>7.2 The estimated total amount to be raised by general rates in relation to each type or class of land, and the estimated total amount to be raised by general rates, compared with the previous financial year</t>
  </si>
  <si>
    <t>7.3  The number of assessments in relation to each type or class of land, and the total number of assessments, compared with the previous financial year</t>
  </si>
  <si>
    <t>7.4  The basis of valuation to be used is the Capital Improved Value (CIV)</t>
  </si>
  <si>
    <t xml:space="preserve">7.5  The estimated total value of each type or class of land, and the estimated total value of land, compared with the previous financial year
</t>
  </si>
  <si>
    <t>7.6  The municipal charge under section 159 of the Act compared with the previous financial year</t>
  </si>
  <si>
    <t>7.7  The estimated total amount to be raised by municipal charges compared with the previous financial year</t>
  </si>
  <si>
    <t>7.9 The estimated total amount to be raised by each type of service rate or charge, and the estimated total amount to be raised by service rates and charges, compared with the previous financial year</t>
  </si>
  <si>
    <t>7.10 The estimated total amount to be raised by all rates and charges compared with the previous financial year</t>
  </si>
  <si>
    <t>7.11  Any significant changes that may affect the estimated amounts to be raised by rates and charges</t>
  </si>
  <si>
    <t>7.12  Differential rates</t>
  </si>
  <si>
    <t>Rates to be levied</t>
  </si>
  <si>
    <t>Residential land</t>
  </si>
  <si>
    <t>Budget Reports</t>
  </si>
  <si>
    <t>1       Links to Council Plan</t>
  </si>
  <si>
    <t>2       Services and service indicators</t>
  </si>
  <si>
    <t>This section includes the following reports and statements in accordance with the Local Government Act 1989 and the Local Government Model Financial Report.</t>
  </si>
  <si>
    <t>4       Financial performance indicators</t>
  </si>
  <si>
    <t>7       Rates and charges</t>
  </si>
  <si>
    <t>6       Detailed list of capital works</t>
  </si>
  <si>
    <t>Budget Analysis</t>
  </si>
  <si>
    <t>This section includes the following analysis and information.</t>
  </si>
  <si>
    <t>14      Strategic resource plan</t>
  </si>
  <si>
    <t>8        Summary of financial position</t>
  </si>
  <si>
    <t>9        Budget influences</t>
  </si>
  <si>
    <t>11      Analysis of budgeted cash position</t>
  </si>
  <si>
    <t>13      Analysis of budgeted financial position</t>
  </si>
  <si>
    <t>16      Rating strategy</t>
  </si>
  <si>
    <t>8. Summary of financial position</t>
  </si>
  <si>
    <t>8.3  Services</t>
  </si>
  <si>
    <t>8.4  Cash and investments</t>
  </si>
  <si>
    <t>8.5  Capital works</t>
  </si>
  <si>
    <t>8.6  Financial position</t>
  </si>
  <si>
    <t>8.7  Financial sustainability</t>
  </si>
  <si>
    <t>8.8  Strategic objectives</t>
  </si>
  <si>
    <t>8.9  Council expenditure allocations</t>
  </si>
  <si>
    <t>9. Budget influences</t>
  </si>
  <si>
    <t>9.1  Snapshot of Victorian City Council</t>
  </si>
  <si>
    <t>9.2  External influences</t>
  </si>
  <si>
    <t>9.3  Internal influences</t>
  </si>
  <si>
    <t>9.4  Budget principles</t>
  </si>
  <si>
    <t>9.5  Long term strategies</t>
  </si>
  <si>
    <t>10. Analysis of operating budget</t>
  </si>
  <si>
    <t>10.1 Budgeted income statement</t>
  </si>
  <si>
    <t>10.1.1 Adjusted underlying deficit ($0.22 million decrease)</t>
  </si>
  <si>
    <t>10.2.1 Rates and charges ($2.26 million increase)</t>
  </si>
  <si>
    <t>10.2.3 User fees ($0.48 million increase)</t>
  </si>
  <si>
    <t>10.2.4 Contributions - monetary ($0.60 million decrease)</t>
  </si>
  <si>
    <t>10.3  Expenses</t>
  </si>
  <si>
    <t>10.3.1</t>
  </si>
  <si>
    <t>10.3.2</t>
  </si>
  <si>
    <t>10.3.3</t>
  </si>
  <si>
    <t>10.3.4</t>
  </si>
  <si>
    <t>10.3.5</t>
  </si>
  <si>
    <t>10.3.6</t>
  </si>
  <si>
    <t>10.3.1 Employee costs ($2.55 million increase)</t>
  </si>
  <si>
    <t>10.3.2 Materials and services ($0.83 million decrease)</t>
  </si>
  <si>
    <t>10.3.3 Bad and doubtful debts ($0.03 million increase)</t>
  </si>
  <si>
    <t>10.3.4 Depreciation and amortisation ($0.47 million increase)</t>
  </si>
  <si>
    <t>10.3.5 Borrowing costs ($0.07 million decrease)</t>
  </si>
  <si>
    <t>10.3.6 Other expenses ($0.11 million decrease)</t>
  </si>
  <si>
    <t>10.2.6</t>
  </si>
  <si>
    <t>10.2.4</t>
  </si>
  <si>
    <t>10.2.1</t>
  </si>
  <si>
    <t>10.2.2</t>
  </si>
  <si>
    <t>10.2.3</t>
  </si>
  <si>
    <t>10.2.5</t>
  </si>
  <si>
    <t>10.2.2 Statutory fees and fines ($0.25 million increase)</t>
  </si>
  <si>
    <t>11. Analysis of budgeted cash position</t>
  </si>
  <si>
    <t>11.1  Budgeted cash flow statement</t>
  </si>
  <si>
    <t>11.1.1</t>
  </si>
  <si>
    <t>11.1.2</t>
  </si>
  <si>
    <t>11.1.3</t>
  </si>
  <si>
    <t>11.1.4</t>
  </si>
  <si>
    <t>11.1.1 Operating activities ($3.59 million increase)</t>
  </si>
  <si>
    <t>11.1.3 Financing activities ($0.07 million decrease)</t>
  </si>
  <si>
    <t>11.1.4 Cash and cash equivalents at end of the year ($11.27 million decrease)</t>
  </si>
  <si>
    <t>11.2  Restricted and unrestricted cash and investments</t>
  </si>
  <si>
    <t>11.2.1</t>
  </si>
  <si>
    <t>11.2.2</t>
  </si>
  <si>
    <t>11.2.3</t>
  </si>
  <si>
    <t>11.2.4</t>
  </si>
  <si>
    <t>11.2.5</t>
  </si>
  <si>
    <t>11.2.1 Statutory reserves ($0.89 million)</t>
  </si>
  <si>
    <t>11.2.2 Cash held to fund carry forward capital works</t>
  </si>
  <si>
    <t>11.2.3 Unrestricted cash and investments ($11.31 million)</t>
  </si>
  <si>
    <t>11.2.4 Discretionary reserves ($3.91 million)</t>
  </si>
  <si>
    <t>11.2.5 Unrestricted cash adjusted for discretionary reserves ($7.41 million)</t>
  </si>
  <si>
    <t>12. Analysis of capital budget</t>
  </si>
  <si>
    <t>12.1  Capital works</t>
  </si>
  <si>
    <t>12.1.1</t>
  </si>
  <si>
    <t>12.1.2</t>
  </si>
  <si>
    <t>12.1.3</t>
  </si>
  <si>
    <t>12.1.4</t>
  </si>
  <si>
    <t>12.1.5</t>
  </si>
  <si>
    <t>12.1.1 Carried forward works ($7.13 million)</t>
  </si>
  <si>
    <t>12.1.2 Property ($8.43 million)</t>
  </si>
  <si>
    <t>12.1.3 Plant and equipment ($4.84 million)</t>
  </si>
  <si>
    <t>12.1.4 Infrastructure ($10.33 million)</t>
  </si>
  <si>
    <t xml:space="preserve">12.1.5 Asset renewal ($17.45 million), new assets ($9.18 million), upgrade ($0.63 million) and expansion ($3.46 million) </t>
  </si>
  <si>
    <t>12.2  Funding sources</t>
  </si>
  <si>
    <t>12.2.1</t>
  </si>
  <si>
    <t>12.2.2</t>
  </si>
  <si>
    <t>12.2.3</t>
  </si>
  <si>
    <t>12.2.4</t>
  </si>
  <si>
    <t>12.2.5</t>
  </si>
  <si>
    <t>12.2.6</t>
  </si>
  <si>
    <t>12.2.1 Carried forward works ($7.13 million)</t>
  </si>
  <si>
    <t>12.2.2 Grants - Capital ($5.82 million)</t>
  </si>
  <si>
    <t>12.2.3 Council cash - operations ($8.87 million)</t>
  </si>
  <si>
    <t>12.2.6 Council cash - unrestricted cash and investments ($0.72 million)</t>
  </si>
  <si>
    <t>13. Analysis of budgeted financial position</t>
  </si>
  <si>
    <t>13.1  Budgeted balance sheet</t>
  </si>
  <si>
    <t>13.1.1</t>
  </si>
  <si>
    <t>13.1.2</t>
  </si>
  <si>
    <t>13.1.4</t>
  </si>
  <si>
    <t>13.1.1  Current Assets ($12.41 million decrease) and Non-Current Assets (12.54 million increase)</t>
  </si>
  <si>
    <t>13.1.2  Current Liabilities ($0.20 million increase) and Non Current Liabilities 
         ($1.13 million decrease)</t>
  </si>
  <si>
    <t>13.1.3  Working Capital ($12.6 million decrease)</t>
  </si>
  <si>
    <t>13.1.4  Equity ($1.05 million increase)</t>
  </si>
  <si>
    <t>13.2 Key assumptions</t>
  </si>
  <si>
    <t>15      Summary of other strategies</t>
  </si>
  <si>
    <t>8.     Summary of financial position</t>
  </si>
  <si>
    <t xml:space="preserve">14.   Strategic resource plan </t>
  </si>
  <si>
    <t xml:space="preserve">14. Strategic resource plan </t>
  </si>
  <si>
    <t>14.1 Plan development</t>
  </si>
  <si>
    <t>14.2 Financial resources</t>
  </si>
  <si>
    <t xml:space="preserve">Social policy </t>
  </si>
  <si>
    <t>3.1       Comprehensive Income Statement</t>
  </si>
  <si>
    <t>8.1  Rates and charges</t>
  </si>
  <si>
    <t>Section 127(2) ©</t>
  </si>
  <si>
    <t>Section 127 (2)©</t>
  </si>
  <si>
    <t>Regulation 10 (1) (d) &amp; €</t>
  </si>
  <si>
    <t>3.6       Statement of Human Resources</t>
  </si>
  <si>
    <t>3.1 Comprehensive Income Statement</t>
  </si>
  <si>
    <t>3.2 Balance Sheet</t>
  </si>
  <si>
    <t>3.3 Statement of Changes in Equity</t>
  </si>
  <si>
    <t>3.4 Statement of Cash Flows</t>
  </si>
  <si>
    <t>3.5 Statement of Capital Works</t>
  </si>
  <si>
    <t>3.6  Statement of Human Resources</t>
  </si>
  <si>
    <t>Mayors introduction</t>
  </si>
  <si>
    <t>10.   Analysis of operating budget</t>
  </si>
  <si>
    <t>16.   Other long term strategies</t>
  </si>
  <si>
    <t>15.   Rating information</t>
  </si>
  <si>
    <t>15. Rating information</t>
  </si>
  <si>
    <t>15.1 Rating context</t>
  </si>
  <si>
    <t>16. Summary of other strategies</t>
  </si>
  <si>
    <t>Mayor’s introduction</t>
  </si>
  <si>
    <t>B   Budget process</t>
  </si>
  <si>
    <t xml:space="preserve">• Advocacy and leadership
• Community and economic development
• Community participation
• Resource management
• Quality service
• Urban development and environment
</t>
  </si>
  <si>
    <t>The proposed budget details the resources required over the next year to fund the large range of services we provide to the community. It also includes details of proposed capital expenditure allocations to improve and renew our City’s physical infrastructure, buildings and operational assets as well as funding proposals for a range of operating projects.</t>
  </si>
  <si>
    <t>Community feedback was supportive about the use of borrowings to fund major long term community infrastructure rather than rates revenue. The community strongly supports the maintenance of existing service levels and for these to be funded through a mix of rates revenue and user charges. Council will continue to focus on the identification of sustainable cost reductions to protect existing service levels. We will also explore new approaches for providing services to our community in a tighter fiscal environment and ensure that we engage with you on any planned changes.</t>
  </si>
  <si>
    <t>Our focus for the next year is to continue to deliver on the projects and services that make our City a great place to live in and respond to the challenges we are currently facing. These challenges include;
• implementation of the Zero Carbon Evolution Strategy which aims to reduce our carbon emissions by 22 per cent across the municipality by 2020
• the need to provide for significant projected growth of 25 per cent in the number of children accessing Council managed and run child care centres over the next five years
• finalising the implementation of Councils’ Bicycle Strategy over the next six years
• increasing investment in the maintenance of our ageing community and infrastructure assets.</t>
  </si>
  <si>
    <r>
      <rPr>
        <b/>
        <sz val="10"/>
        <rFont val="Arial"/>
        <family val="2"/>
      </rPr>
      <t>1. Key things we are funding</t>
    </r>
    <r>
      <rPr>
        <sz val="10"/>
        <rFont val="Arial"/>
        <family val="2"/>
      </rPr>
      <t xml:space="preserve">
1) Ongoing delivery of services to the Victorian City community funded by a budget of $77.5m. These services are summarised in Section 2.1.
2) Continued investment in Infrastructure assets ($11.4m) primarily for renewal works. This includes roads ($5.3m); bridges ($0.1m); footpaths and bicycle paths ($0.7m); drainage ($1.9m); recreational, leisure and community facilities ($0.6m); parks, open space and streetscapes ($2.6m); and transport management ($0.3m). The Statement of Capital Works can be found in Section 3 and further details on the capital works budget can be found in Sections 6 and 12.</t>
    </r>
  </si>
  <si>
    <r>
      <rPr>
        <b/>
        <sz val="10"/>
        <rFont val="Arial"/>
        <family val="2"/>
      </rPr>
      <t>Strategic Objective 3: Community participation</t>
    </r>
    <r>
      <rPr>
        <sz val="10"/>
        <rFont val="Arial"/>
        <family val="2"/>
      </rPr>
      <t xml:space="preserve">
6) A major step forward in the improvement of Council’s Multilingual Communication Service to meet the needs of a non-English speaking background community including a major redevelopment of Council’s multilingual website and other communication services ($0.05 million net cost).</t>
    </r>
  </si>
  <si>
    <r>
      <rPr>
        <b/>
        <sz val="10"/>
        <rFont val="Arial"/>
        <family val="2"/>
      </rPr>
      <t>Strategic Objective 5: Quality service</t>
    </r>
    <r>
      <rPr>
        <sz val="10"/>
        <rFont val="Arial"/>
        <family val="2"/>
      </rPr>
      <t xml:space="preserve">
8) Customer service facilities will be provided at the new Victorian Community Centre following its completion ($0.11 million net cost).</t>
    </r>
  </si>
  <si>
    <t xml:space="preserve">8. Population Growth </t>
  </si>
  <si>
    <t>5.1.1       Grants operating</t>
  </si>
  <si>
    <t>5.1.3       Statement of borrowings</t>
  </si>
  <si>
    <t>5.1.2       Grants capital</t>
  </si>
  <si>
    <t>5.1.2 Grants capital ($3.37 million increase)</t>
  </si>
  <si>
    <t>5.1.3 Statement of Borrowings</t>
  </si>
  <si>
    <t>The table below shows information on borrowings specifically required by the Regulations.</t>
  </si>
  <si>
    <t>6.1 New works</t>
  </si>
  <si>
    <t>6.3 Summary</t>
  </si>
  <si>
    <t>The population is ageing and the City has a greater proportion of older people than the Melbourne average. The age profile is similar to metropolitan averages however there is a slightly lower proportion of 5 to 14 year olds and 45 to 64 year olds. In addition, the proportion of 25 to 44 year olds is higher and the proportion of people aged over 65 years is significantly higher. (Source: Australian Bureau of Statistics, Census of Population and Housing).</t>
  </si>
  <si>
    <t>A detailed listing of statutory fees is included in Appendix A.</t>
  </si>
  <si>
    <t>Long Term Strategies</t>
  </si>
  <si>
    <t>16      Other long term strategies</t>
  </si>
  <si>
    <t>15      Rating information</t>
  </si>
  <si>
    <t>Total Raised $000's</t>
  </si>
  <si>
    <t>New Borrowings</t>
  </si>
  <si>
    <t>Principal</t>
  </si>
  <si>
    <t>Balance           30 June</t>
  </si>
  <si>
    <t>Paid</t>
  </si>
  <si>
    <t>Adjusted</t>
  </si>
  <si>
    <t>Underlying</t>
  </si>
  <si>
    <t>16.1 Borrowings</t>
  </si>
  <si>
    <t>16.2  Infrastructure</t>
  </si>
  <si>
    <t>The key objectives in Council’s Strategic Resource Plan (referred to in Section 14.) which directly impact the future service delivery strategy are to maintain existing service levels and to achieve a breakeven operating result within five to six years. The Rating Information (see Section 15.) also refers to modest rate increases into the future. With these key objectives as a basis, a number of internal and external influences have been identified through discussions with management which will have a significant impact on the scope and level of services to be provided over the next four years.</t>
  </si>
  <si>
    <t>Appendix A</t>
  </si>
  <si>
    <t>5.   Other budget information (grants, borrowings)</t>
  </si>
  <si>
    <r>
      <t>18)</t>
    </r>
    <r>
      <rPr>
        <sz val="7"/>
        <rFont val="Times New Roman"/>
        <family val="1"/>
      </rPr>
      <t xml:space="preserve">         </t>
    </r>
    <r>
      <rPr>
        <sz val="10"/>
        <rFont val="Arial"/>
        <family val="2"/>
      </rPr>
      <t xml:space="preserve">Two additional staff for Statutory Planning will enable Council to respond in a timelier manner to planning permit applications and also to an anticipated increased workload resulting from the newly introduced planning zones. ($0.90 million net cost)
</t>
    </r>
  </si>
  <si>
    <t>2.8  Reconciliation with budgeted operating result</t>
  </si>
  <si>
    <t>2.7 Performance Statement</t>
  </si>
  <si>
    <t>This section presents information about rates and charges which the Act and the Regulations require to be disclosed in the Council’s annual budget</t>
  </si>
  <si>
    <t>Refer also Section 4 for the Statement of Cash Flows and Section 11 for an analysis of the cash position.</t>
  </si>
  <si>
    <t>Refer also Section 4 for the Statement of Capital Works and Section12 for an analysis of the capital budget.</t>
  </si>
  <si>
    <t>Refer also Section 4 for the Balance Sheet and Section13 for an analysis of the budgeted financial position.</t>
  </si>
  <si>
    <t>Refer Section 14 for more information on the Strategic Resource Plan.</t>
  </si>
  <si>
    <t>The services that contribute to these objectives are set out in Section 2</t>
  </si>
  <si>
    <t>The above chart provides an indication of how Council allocates its expenditure across the main services that it delivers.  It shows how much is allocated to each service area for every $100 that Council spends. Council overheads, governance costs and administrative costs are allocated to our external facing services using an internal overhead allocation model.</t>
  </si>
  <si>
    <t xml:space="preserve">A detailed listing of fees and charges is included in Appendix A. </t>
  </si>
  <si>
    <t>10.2.5 Net gain on disposal of property, infrastructure, plant and equipment ($0.29 million decrease)</t>
  </si>
  <si>
    <t>10.2.6 Other income ($0.44 million increase)</t>
  </si>
  <si>
    <t>5.1.1</t>
  </si>
  <si>
    <t>5.1.2</t>
  </si>
  <si>
    <t>Source: Section 3</t>
  </si>
  <si>
    <t xml:space="preserve">Source: Section 3. A more detailed listing of capital works is included in Section 6. </t>
  </si>
  <si>
    <t>Property, infrastructure, plant and equipment is the largest component of Council’s worth and represents the value of all the land, buildings, roads, vehicles, equipment, etc which has been built up by Council over many years. The $12.73 million increase in this balance is attributable to the net result of the capital works program ($29.08 million of new assets), depreciation of assets ($14.50 million) and the sale through sale of property, plant and equipment ($1.85 million).</t>
  </si>
  <si>
    <t>For the four years ending 30 June 2021</t>
  </si>
  <si>
    <t>2020/21</t>
  </si>
  <si>
    <t>For the year ending 30 June 2018</t>
  </si>
  <si>
    <t>The types of buildings on the land within this differential rate are all buildings which are now constructed on the land or which are constructed prior to the expiry of the 2017/18 financial year.</t>
  </si>
  <si>
    <t>A2015/16</t>
  </si>
  <si>
    <t>F2016/17</t>
  </si>
  <si>
    <t>B2017/18</t>
  </si>
  <si>
    <t>SRP2020/21</t>
  </si>
  <si>
    <t>A2016</t>
  </si>
  <si>
    <t>F2017</t>
  </si>
  <si>
    <t>B2018</t>
  </si>
  <si>
    <t>SRP2021</t>
  </si>
  <si>
    <t>Despite an ageing population, approximately 1,900 babies have been born each year since 2005. In the 2016/17 financial year 2,219 babies were born in the municipality. (Source: Maternal and Child Health database).</t>
  </si>
  <si>
    <t xml:space="preserve">The number of homes is increasing. In 2017, there were 52,584 dwellings, of which 52,505 were private homes and 79 were non-private dwellings such as nursing homes, hotels and hostels. While more housing stock is available, the population has remained fairly stable, due to decreasing household sizes. Trends show that the number of one-person households is increasing, as is the number of small households. 
The proportion of separate houses has fallen over the past decade with the growth of flats, units or apartments, along with semidetached, row, terrace and townhouses. Residential property prices have increased significantly over the past 10 years. The median house price increased from $298,000 in 2004 to $600,000 in 2017.
</t>
  </si>
  <si>
    <t>In the past decade, Melbourne’s northern region, which includes Victorian City, has experienced a steadily improving retention of students from Year 10 to Year 12, up from 86% in 2002 to 87.7% in 2016. (Source: Department of Education and Training, Summary Statistics Victorian Schools).</t>
  </si>
  <si>
    <t>People in Victorian City are also becoming better educated. The proportion of residents who have non-school qualifications is increasing. Many more residents in 2016 had completed a non-school qualification than in 2000 (33% compared with 22%). (Source: Australian Bureau of Statistics, Census of Population and Housing).</t>
  </si>
  <si>
    <t>Bad and doubtful debts is projected to increase by $0.03 million or 8.3% compared to 2016/17 due mainly to an increase in parking fines forwarded to the Infringements Court for collection and a consequent reduction in collection rates.</t>
  </si>
  <si>
    <t>In addition to the restricted cash shown above, Council is also projected to hold $3.91 million in discretionary reserves at 30 June 2018.  Although not restricted by a statutory purpose, Council has made decisions regarding the future use of these funds and unless there is a Council resolution these funds should be used for those earmarked purposes.</t>
  </si>
  <si>
    <t>In preparing the Budgeted Balance Sheet for the year ending 30 June 2018 it was necessary to make a number of assumptions about assets, liabilities and equity balances. The key assumptions are as follows:</t>
  </si>
  <si>
    <t>In this proposed budget we have allocated funding of $21.5 million for asset renewals, upgrades and expansions. The proposed budget also funds $9.2 million for new assets. Highlights of the capital program include;
• roads ($7.13 million) – including reconstructions, roads to recovery projects, resheeting, footpaths and 
   the Integrated Transport Plan;
• drains ($1.65 million) – including road drainage replacement works, stage 1 of the Victoria Park Lake
   redevelopment and implementation of the Stormwater Management Plan;
• open space ($3.29 million) – including playground equipment, irrigation systems, street trees and 
   completion of Victoria Park;
• buildings ($8.43 million) – including pavilion upgrades, construction of the Victorian Community Facility, 
   construction of a Velodrome and State Bowls Centre and completion of the Block Arcade 
   redevelopment; and 
• plant and equipment ($4.84 million) – including information technology, library materials and scheduled 
   replacement of Council’s fleet.</t>
  </si>
  <si>
    <r>
      <rPr>
        <b/>
        <sz val="10"/>
        <rFont val="Arial"/>
        <family val="2"/>
      </rPr>
      <t>Strategic Objective 4:  Resource management</t>
    </r>
    <r>
      <rPr>
        <sz val="10"/>
        <rFont val="Arial"/>
        <family val="2"/>
      </rPr>
      <t xml:space="preserve">
7) Significant advances will be made in the further development of the Geographic Information System (GIS). Additionally, public access to the GIS will become operational during this year, as will the commissioning of the Community Portal and community email facilities. These initiatives will place Council firmly at the forefront of local governments in Victoria and Australia for electronic public access to service information and facilities ($0 net cost).</t>
    </r>
  </si>
  <si>
    <r>
      <rPr>
        <b/>
        <sz val="10"/>
        <rFont val="Arial"/>
        <family val="2"/>
      </rPr>
      <t>Internal Influences</t>
    </r>
    <r>
      <rPr>
        <sz val="10"/>
        <rFont val="Arial"/>
        <family val="2"/>
      </rPr>
      <t xml:space="preserve">
As well as external influences, there are also a number of internal influences which are expected to have a significant impact on the preparation of the 2017/2018 Budget.  These matters have arisen from events occurring in the 2016/2017 year resulting in variances between the forecast actual and budgeted results for that year and matters expected to arise in the 2017/2018 year.  These matters and their financial impact are set out below:
• Overrun of $0.48 million in the maintenance of trees due to the removal of severely diseased street trees.
• Reduction in the budgeted draw down from discretionary reserves of $0.30 million as a result of government funding being awarded for the Victoria Civic Centre redevelopment.
• Higher than expected wage increases of 5% per annum resulting in additional ongoing employee costs of $0.46 million per annum.
• Ongoing savings of $0.23 million as a result of meals production being contracted out at a rate more favourable than budget.
• Council’s decision during the year to bring the street cleansing service in-house. This has resulted in start-up investment costs of $0.80 million for plant and equipment to be funded from investment reserves and ongoing operational costs of $1.40 million per annum.</t>
    </r>
  </si>
  <si>
    <r>
      <rPr>
        <i/>
        <sz val="10"/>
        <rFont val="Arial"/>
        <family val="2"/>
      </rPr>
      <t>Type 2: Loss of funding in General</t>
    </r>
    <r>
      <rPr>
        <sz val="10"/>
        <rFont val="Arial"/>
        <family val="2"/>
      </rPr>
      <t xml:space="preserve">
6. A freeze on indexation of the federal financial assistance grants. The Commonwealth announced in its 2014/2015 budget that it will pause indexation of the total national pool of financial assistance grants to local government for three years (2014/2015, 2015/2016, 2016/2017). The cumulative impact on Victorian City Council for the three years totals $1.75M and although the freeze has now been removed this is a permanent loss of revenue.
7. Discontinuance of the Community Support Program (CSP) Fund for Family Day Care program from 1 July 2015 - $140k per annum
</t>
    </r>
  </si>
  <si>
    <r>
      <rPr>
        <i/>
        <sz val="10"/>
        <rFont val="Arial"/>
        <family val="2"/>
      </rPr>
      <t>Type 5: Statutory requirements lead to increased costs</t>
    </r>
    <r>
      <rPr>
        <b/>
        <sz val="10"/>
        <rFont val="Arial"/>
        <family val="2"/>
      </rPr>
      <t xml:space="preserve"> </t>
    </r>
    <r>
      <rPr>
        <sz val="10"/>
        <rFont val="Arial"/>
        <family val="2"/>
      </rPr>
      <t xml:space="preserve">
12. Line clearance (cutting back tree branches around power lines) – approximately $1.2M from 2011/2012 to 2017/2018.
13. New national policy of 15 hours kinder for four-year olds - $5.635m of capital works over the past 4 years.
</t>
    </r>
  </si>
  <si>
    <t>Councils population is forecast to grow from 154,245 in 2011 to 188,813 by 2020 and to 214,320 by 2036.</t>
  </si>
  <si>
    <t>Source: Department of Environment, Land, Water and Planning</t>
  </si>
  <si>
    <r>
      <t>·</t>
    </r>
    <r>
      <rPr>
        <sz val="7"/>
        <rFont val="Times New Roman"/>
        <family val="1"/>
      </rPr>
      <t xml:space="preserve">           </t>
    </r>
    <r>
      <rPr>
        <b/>
        <sz val="10"/>
        <rFont val="Arial"/>
        <family val="2"/>
      </rPr>
      <t>Teamwork</t>
    </r>
    <r>
      <rPr>
        <sz val="10"/>
        <rFont val="Arial"/>
        <family val="2"/>
      </rPr>
      <t xml:space="preserve"> - We share our skills, knowledge and experience as part of a team and work
                            together towards achieving Council’s goals</t>
    </r>
  </si>
  <si>
    <t>Council delivers activities and initiatives under 34 major service categories. Each contributes to the achievement of one of the six Strategic Objectives as set out in the Council Plan for the 2017-2021 years.  The following table lists the six Strategic Objectives as described in the Council Plan.</t>
  </si>
  <si>
    <t>This section provides a description of the services and initiatives to be funded in the Budget for the 2017/2018 year and how these will contribute to achieving the strategic objectives outlined in the Council Plan. It also describes a number of major initiatives, initiatives and service performance outcome indicators for key areas of Council’s operations.  Council is required by legislation to identify initiatives, major initiatives and service performance outcome indicators in the Budget and report against them in their Annual Report to support transparency and accountability.  The relationship between these accountability requirements in the Council Plan, the Budget and the Annual Report is shown below.</t>
  </si>
  <si>
    <t>4)        Council is the lead agency on aged partnerships project and although grants were received in 2016/2017, the majority of programs will be implemented during the next financial year ($0.90 million net cost).</t>
  </si>
  <si>
    <t>11)         Greater use of social media in Council’s communications ($0.02 million net cost).</t>
  </si>
  <si>
    <r>
      <t>16)</t>
    </r>
    <r>
      <rPr>
        <sz val="7"/>
        <rFont val="Times New Roman"/>
        <family val="1"/>
      </rPr>
      <t xml:space="preserve">         </t>
    </r>
    <r>
      <rPr>
        <sz val="10"/>
        <rFont val="Arial"/>
        <family val="2"/>
      </rPr>
      <t>The major three-year review of Council’s Municipal Strategic Statement commenced in July 2015 with a completion date of December 2018.  This will be the main focus of work being undertaken by the Strategic Planning Unit next year. ($Nil net cost)</t>
    </r>
  </si>
  <si>
    <r>
      <t>17)</t>
    </r>
    <r>
      <rPr>
        <sz val="7"/>
        <rFont val="Times New Roman"/>
        <family val="1"/>
      </rPr>
      <t xml:space="preserve">         </t>
    </r>
    <r>
      <rPr>
        <sz val="10"/>
        <rFont val="Arial"/>
        <family val="2"/>
      </rPr>
      <t>In November 2016, Council resolved to deliver an in-house provided Street Cleansing service. This year’s allocation includes the recent employment of an additional 14 staff, plant maintenance, materials and tipping fees, to deliver this new in house service. ($1.40 million net cost)</t>
    </r>
  </si>
  <si>
    <t>The service performance indicators detailed in the preceding pages will be reported on in the Performance Statement which is prepared at the end of the year as required by Section 132 of the Act and included in the 2017/2018 Annual Report. The Performance Statement will also include reporting on prescribed indicators of financial performance (outlined in Section 8) and sustainable capacity, which are not included in this budget report.  The prescribed performance indicators contained in the Performance Statement are audited each year by the Victorian Auditor General who issues an audit opinion on the Performance Statement.  The major initiatives detailed in the preceding pages will be reported in the Annual Report in the form of a statement of progress in the Report of Operations.</t>
  </si>
  <si>
    <r>
      <t>20)</t>
    </r>
    <r>
      <rPr>
        <sz val="7"/>
        <rFont val="Times New Roman"/>
        <family val="1"/>
      </rPr>
      <t xml:space="preserve">         </t>
    </r>
    <r>
      <rPr>
        <sz val="10"/>
        <rFont val="Arial"/>
        <family val="2"/>
      </rPr>
      <t>As a result of delivering a Council provided street cleansing service, the increased labour allocation in the Roads &amp; Recovery program includes an allowance for new full time Drainage Inspector (0.04 million net cost)</t>
    </r>
  </si>
  <si>
    <t>This section presents information in regard to the Financial Statements.  The budget information for the years 2017/2018 to 2020/2021 has been extracted from the Strategic Resource Plan.</t>
  </si>
  <si>
    <t>2017/2018</t>
  </si>
  <si>
    <t>2018/2019</t>
  </si>
  <si>
    <t>2019/2020</t>
  </si>
  <si>
    <t>2020/2021</t>
  </si>
  <si>
    <t xml:space="preserve">Cash and cash equivalents at the beginning of the financial year </t>
  </si>
  <si>
    <r>
      <rPr>
        <b/>
        <i/>
        <sz val="10"/>
        <rFont val="Arial"/>
        <family val="2"/>
      </rPr>
      <t>1 Adjusted underlying result –</t>
    </r>
    <r>
      <rPr>
        <i/>
        <sz val="10"/>
        <rFont val="Arial"/>
        <family val="2"/>
      </rPr>
      <t xml:space="preserve"> </t>
    </r>
    <r>
      <rPr>
        <sz val="10"/>
        <rFont val="Arial"/>
        <family val="2"/>
      </rPr>
      <t>An indicator of the sustainable operating result required to enable Council to continue to provide core services and meet its objectives. Improvement in financial performance expected over the period, although continued losses means reliance on Council's cash reserves or increased debt to maintain services.</t>
    </r>
  </si>
  <si>
    <r>
      <rPr>
        <b/>
        <i/>
        <sz val="10"/>
        <rFont val="Arial"/>
        <family val="2"/>
      </rPr>
      <t xml:space="preserve">3 Debt compared to rates - </t>
    </r>
    <r>
      <rPr>
        <sz val="10"/>
        <rFont val="Arial"/>
        <family val="2"/>
      </rPr>
      <t xml:space="preserve">Trend indicates Council's reducing reliance on debt against its annual rate revenue through redemption of long term debt. </t>
    </r>
  </si>
  <si>
    <r>
      <rPr>
        <b/>
        <sz val="10"/>
        <rFont val="Arial"/>
        <family val="2"/>
      </rPr>
      <t>2 Working Capital -</t>
    </r>
    <r>
      <rPr>
        <sz val="10"/>
        <rFont val="Arial"/>
        <family val="2"/>
      </rPr>
      <t xml:space="preserve"> The proportion of current liabilities represented by current assets. Working capital is forecast to decrease significantly in 2017/2018 year due to a run down in cash reserves to fund the capital program.  The trend in later years is to remain steady at an acceptable level.</t>
    </r>
  </si>
  <si>
    <t>Operating grants include all monies received from State and Federal sources for the purposes of funding the delivery of Council’s services to ratepayers. Overall, the level of operating grants is projected to decrease by 6.2% or $0.91 million compared to 2016/2017.  A list of operating grants by type and source, classified into recurrent and non-recurrent, is included below</t>
  </si>
  <si>
    <t>Capital grants include all monies received from State, Federal and community sources for the purposes of funding the capital works program. Overall the level of capital grants has increased by 116.2% or $3.37 million compared to 2016/2017 due mainly to specific funding for some large capital works projects. Section 6. “Analysis of Capital Budget” includes a more detailed analysis of the grants and contributions expected to be received during the 2017/2018 year.  A list of capital grants by type and source, classified into recurrent and non-recurrent, is included below.</t>
  </si>
  <si>
    <t>2016/17
$'000</t>
  </si>
  <si>
    <t>2017/18
$'000</t>
  </si>
  <si>
    <t>This section presents a listing of the capital works projects that will be undertaken for the 2017/2018 year.</t>
  </si>
  <si>
    <t>·           New works for 2017/2018</t>
  </si>
  <si>
    <t>·           Works carried forward from the 2016/2017 year.</t>
  </si>
  <si>
    <t>6.2 Works carried forward from the 2016/2017 year</t>
  </si>
  <si>
    <t>2016/2017</t>
  </si>
  <si>
    <t>2017/20'18</t>
  </si>
  <si>
    <r>
      <t>·</t>
    </r>
    <r>
      <rPr>
        <sz val="10"/>
        <rFont val="Times New Roman"/>
        <family val="1"/>
      </rPr>
      <t xml:space="preserve">           </t>
    </r>
    <r>
      <rPr>
        <sz val="10"/>
        <rFont val="Arial"/>
        <family val="2"/>
      </rPr>
      <t>Occupied for the principal purpose of carrying out the manufacture or production of, or trade in, goods or services; or</t>
    </r>
  </si>
  <si>
    <r>
      <t>·</t>
    </r>
    <r>
      <rPr>
        <sz val="10"/>
        <rFont val="Times New Roman"/>
        <family val="1"/>
      </rPr>
      <t xml:space="preserve">           </t>
    </r>
    <r>
      <rPr>
        <sz val="10"/>
        <rFont val="Arial"/>
        <family val="2"/>
      </rPr>
      <t>Unoccupied but zoned commercial or industrial under the City of Victoria Planning Scheme.</t>
    </r>
  </si>
  <si>
    <r>
      <t>·</t>
    </r>
    <r>
      <rPr>
        <sz val="10"/>
        <rFont val="Times New Roman"/>
        <family val="1"/>
      </rPr>
      <t xml:space="preserve">           </t>
    </r>
    <r>
      <rPr>
        <sz val="10"/>
        <rFont val="Arial"/>
        <family val="2"/>
      </rPr>
      <t>Construction and maintenance of infrastructure assets;</t>
    </r>
  </si>
  <si>
    <r>
      <t>·</t>
    </r>
    <r>
      <rPr>
        <sz val="10"/>
        <rFont val="Times New Roman"/>
        <family val="1"/>
      </rPr>
      <t xml:space="preserve">           </t>
    </r>
    <r>
      <rPr>
        <sz val="10"/>
        <rFont val="Arial"/>
        <family val="2"/>
      </rPr>
      <t>Development and provision of health and community services; and</t>
    </r>
  </si>
  <si>
    <r>
      <t>·</t>
    </r>
    <r>
      <rPr>
        <sz val="10"/>
        <rFont val="Times New Roman"/>
        <family val="1"/>
      </rPr>
      <t xml:space="preserve">           </t>
    </r>
    <r>
      <rPr>
        <sz val="10"/>
        <rFont val="Arial"/>
        <family val="2"/>
      </rPr>
      <t>Provision of general support services.</t>
    </r>
  </si>
  <si>
    <r>
      <t>·</t>
    </r>
    <r>
      <rPr>
        <sz val="10"/>
        <rFont val="Times New Roman"/>
        <family val="1"/>
      </rPr>
      <t xml:space="preserve">           </t>
    </r>
    <r>
      <rPr>
        <sz val="10"/>
        <rFont val="Arial"/>
        <family val="2"/>
      </rPr>
      <t>Occupied for the principal purpose of physically accommodating persons; or</t>
    </r>
  </si>
  <si>
    <t>7.13  Fair Go Rates System Compliance</t>
  </si>
  <si>
    <t xml:space="preserve">                    A= Actual   F= Forecast   B= Budget  SRP= Strategic Resource Plan estimates</t>
  </si>
  <si>
    <t>The expected operating result for the 2017/2018 year is a surplus of $1.05 million, which is an increase of $2.97 million over 2016/17. The improved operating result is due mainly to external funding for capital works which is forecast to increase by $3.37 million to $6.28 million. The adjusted underlying result, which excludes items such as non-recurrent capital grants and non-cash contributions is a deficit of $4.40 million, which is an increase of $0.39 million over 2016/2017 - refer to section 7 of this summary for further information.  (The forecast operating result for the 2016/17 year is a deficit of $1.92 million).</t>
  </si>
  <si>
    <t>The capital works program for the 2017/2018 year is expected to be $30.72 million of which $7.13 million relates to projects which will be carried forward from the 2016/2017 year. The carried forward component is fully funded from the 2016/2017 budget. Of the $30.72 million of capital funding required, $6.28 million will come from external grants with the balance of $24.44 million from Council cash.  The Council cash amount comprises asset sales ($1.68 million), cash held at the start of the year ($13.89 million) and cash generated through operations in the 2017/18 financial year ($8.87 million). The capital expenditure program has been set and prioritised based on a rigorous process of consultation that has enabled Council to assess needs and develop sound business cases for each project. This year's program includes a number of major building projects including the construction of a velodrome and lawn bowls centre. (Capital works is forecast to be $22.62 million for the 2016/2017 year).</t>
  </si>
  <si>
    <t>The asset renewal program has been increased to $17.50 million in the 2017/2018 year which will lead to a reduction in the backlog to $2.04 million. However over the rest of the four year period, it is expected to increase as funds are directed toward new asset projects with the backlog expected to climb to $6.61 million at the end of the 2020/2021 year.</t>
  </si>
  <si>
    <t>The financial position is expected to improve with net assets (net worth) to increase by $1.05 million to $514.83 million although net current assets (working capital) will reduce by $12.61 million to $5.03 million as at 30 June 2017. This is mainly due to the use of cash reserves to fund the capital works program. (Total equity is forecast to be $513.79 million as at 30 June 2018).</t>
  </si>
  <si>
    <t xml:space="preserve">A high level Strategic Resource Plan for the years 2017/2018 to 2020/2021 has been developed to assist Council in adopting a budget within a longer term prudent financial framework. The key objective of the Plan is financial sustainability in the medium to long term, while still achieving the Council’s strategic objectives as specified in the Council Plan. The adjusted underlying result, which is a measure of financial sustainability, shows a decreasing deficit over the four year period. </t>
  </si>
  <si>
    <r>
      <t>·</t>
    </r>
    <r>
      <rPr>
        <sz val="10"/>
        <rFont val="Times New Roman"/>
        <family val="1"/>
      </rPr>
      <t>         </t>
    </r>
    <r>
      <rPr>
        <sz val="10"/>
        <rFont val="Arial"/>
        <family val="2"/>
      </rPr>
      <t>Overrun of $0.48 million in the maintenance of trees due to the removal of severely diseased 
         street trees</t>
    </r>
  </si>
  <si>
    <r>
      <t>·</t>
    </r>
    <r>
      <rPr>
        <sz val="10"/>
        <rFont val="Times New Roman"/>
        <family val="1"/>
      </rPr>
      <t>         </t>
    </r>
    <r>
      <rPr>
        <sz val="10"/>
        <rFont val="Arial"/>
        <family val="2"/>
      </rPr>
      <t>Reduction in the budgeted draw down from discretionary reserves of $0.30 million as a result of 
         government funding being awarded for the Victoria Civic Centre redevelopment</t>
    </r>
  </si>
  <si>
    <r>
      <t>·</t>
    </r>
    <r>
      <rPr>
        <sz val="10"/>
        <rFont val="Times New Roman"/>
        <family val="1"/>
      </rPr>
      <t>         </t>
    </r>
    <r>
      <rPr>
        <sz val="10"/>
        <rFont val="Arial"/>
        <family val="2"/>
      </rPr>
      <t>Higher than expected wage increases of 5% per annum resulting in additional ongoing employee 
        costs of $0.46 million per annum</t>
    </r>
  </si>
  <si>
    <r>
      <t>·</t>
    </r>
    <r>
      <rPr>
        <sz val="10"/>
        <rFont val="Times New Roman"/>
        <family val="1"/>
      </rPr>
      <t>         </t>
    </r>
    <r>
      <rPr>
        <sz val="10"/>
        <rFont val="Arial"/>
        <family val="2"/>
      </rPr>
      <t>Council’s decision during the year to bring the street cleansing service in-house. This has resulted in 
        start up investment costs of $0.80 million for plant and equipment to be funded from investment 
        reserves and ongoing operational costs of $1.40 million per annum.</t>
    </r>
  </si>
  <si>
    <r>
      <t>·</t>
    </r>
    <r>
      <rPr>
        <sz val="10"/>
        <rFont val="Times New Roman"/>
        <family val="1"/>
      </rPr>
      <t xml:space="preserve">           </t>
    </r>
    <r>
      <rPr>
        <sz val="10"/>
        <rFont val="Arial"/>
        <family val="2"/>
      </rPr>
      <t>Existing fees and charges to be increased in line with CPI or market levels</t>
    </r>
  </si>
  <si>
    <r>
      <t>·</t>
    </r>
    <r>
      <rPr>
        <sz val="10"/>
        <rFont val="Times New Roman"/>
        <family val="1"/>
      </rPr>
      <t xml:space="preserve">           </t>
    </r>
    <r>
      <rPr>
        <sz val="10"/>
        <rFont val="Arial"/>
        <family val="2"/>
      </rPr>
      <t>Grants to be based on confirmed funding levels</t>
    </r>
  </si>
  <si>
    <r>
      <t>·</t>
    </r>
    <r>
      <rPr>
        <sz val="10"/>
        <rFont val="Times New Roman"/>
        <family val="1"/>
      </rPr>
      <t xml:space="preserve">           </t>
    </r>
    <r>
      <rPr>
        <sz val="10"/>
        <rFont val="Arial"/>
        <family val="2"/>
      </rPr>
      <t>New revenue sources to be identified where possible</t>
    </r>
  </si>
  <si>
    <r>
      <t>·</t>
    </r>
    <r>
      <rPr>
        <sz val="10"/>
        <rFont val="Times New Roman"/>
        <family val="1"/>
      </rPr>
      <t xml:space="preserve">           </t>
    </r>
    <r>
      <rPr>
        <sz val="10"/>
        <rFont val="Arial"/>
        <family val="2"/>
      </rPr>
      <t>Salaries and wages to be increased in line with Average Weekly Earnings</t>
    </r>
  </si>
  <si>
    <r>
      <t>·</t>
    </r>
    <r>
      <rPr>
        <sz val="10"/>
        <rFont val="Times New Roman"/>
        <family val="1"/>
      </rPr>
      <t xml:space="preserve">           </t>
    </r>
    <r>
      <rPr>
        <sz val="10"/>
        <rFont val="Arial"/>
        <family val="2"/>
      </rPr>
      <t>Construction and material costs to increase in line with the Engineering Construction Index</t>
    </r>
  </si>
  <si>
    <r>
      <t>·</t>
    </r>
    <r>
      <rPr>
        <sz val="10"/>
        <rFont val="Times New Roman"/>
        <family val="1"/>
      </rPr>
      <t xml:space="preserve">           </t>
    </r>
    <r>
      <rPr>
        <sz val="10"/>
        <rFont val="Arial"/>
        <family val="2"/>
      </rPr>
      <t>New initiatives or new employee proposals to be justified through a business case</t>
    </r>
  </si>
  <si>
    <t>As well as external influences, there are also a number of internal influences which are expected to have a significant impact on the preparation of the 2017/2018 Budget.  These matters have arisen from events occurring in the 2016/2017 year resulting in variances between the forecast actual and budgeted results for that year and matters expected to arise in the 2017/2018 year.  These matters and their financial impact are set out below:</t>
  </si>
  <si>
    <r>
      <t>·</t>
    </r>
    <r>
      <rPr>
        <sz val="10"/>
        <rFont val="Times New Roman"/>
        <family val="1"/>
      </rPr>
      <t xml:space="preserve">           </t>
    </r>
    <r>
      <rPr>
        <sz val="10"/>
        <rFont val="Arial"/>
        <family val="2"/>
      </rPr>
      <t>Service levels to be maintained at 2016/2017 levels with the aim to use less resources with an
           emphasis on innovation and efficiency</t>
    </r>
  </si>
  <si>
    <r>
      <t>·</t>
    </r>
    <r>
      <rPr>
        <sz val="10"/>
        <rFont val="Times New Roman"/>
        <family val="1"/>
      </rPr>
      <t xml:space="preserve">           </t>
    </r>
    <r>
      <rPr>
        <sz val="10"/>
        <rFont val="Arial"/>
        <family val="2"/>
      </rPr>
      <t>Real savings in expenditure and increases in revenue identified in 2016/2017 to be preserved</t>
    </r>
  </si>
  <si>
    <t>The budget includes consideration of a number of long term strategies and contextual information to assist Council to prepare the Budget in a proper financial management context. These include a Strategic Resource Plan for  2017/2018 to 2020/2021 (Section 14.), Rating Information (Section 15.) and Other Long Term Strategies (Section 16.) including borrowings, infrastructure and service delivery.</t>
  </si>
  <si>
    <r>
      <t>·</t>
    </r>
    <r>
      <rPr>
        <sz val="10"/>
        <rFont val="Times New Roman"/>
        <family val="1"/>
      </rPr>
      <t>         </t>
    </r>
    <r>
      <rPr>
        <sz val="10"/>
        <rFont val="Arial"/>
        <family val="2"/>
      </rPr>
      <t>Ongoing savings of $0.23 million as a result of meals production being contracted out at a rate more 
         favourable than budget</t>
    </r>
  </si>
  <si>
    <r>
      <t>·</t>
    </r>
    <r>
      <rPr>
        <sz val="10"/>
        <rFont val="Times New Roman"/>
        <family val="1"/>
      </rPr>
      <t xml:space="preserve">           </t>
    </r>
    <r>
      <rPr>
        <sz val="10"/>
        <rFont val="Arial"/>
        <family val="2"/>
      </rPr>
      <t>Contract labour to be minimized</t>
    </r>
  </si>
  <si>
    <t>The adjusted underlying result is the net surplus or deficit for the year adjusted for non-recurrent capital grants, non-monetary asset contributions, and capital contributions from other sources.  It is a measure of financial sustainability and Council’s ability to achieve its service delivery objectives as it is not impacted by capital income items which can often mask the operating result. The adjusted underlying result for the 2017/2018 year is a deficit of $4.45 million which is a decrease of $0.22 million from the 2016/2017 year.  In calculating the adjusted underlying result, Council has excluded grants received for capital purposes which are non-recurrent and capital contributions from other sources.  Contributions of non-monetary assets are excluded as the value of assets assumed by Council is dependent on the level of development activity each year.</t>
  </si>
  <si>
    <t>Statutory fees are forecast to increase by 10.0% or $0.25 million compared to 2016/2017. Statutory Planning fees will increase by $0.17 million due to the planned release of two major property developments and increased activity in the building sector. Traffic Enforcement fees will also increase by $0.06 million due to the appointment of an additional enforcement officer.</t>
  </si>
  <si>
    <t xml:space="preserve">User charges are projected to increase by 6.7% or $0.48 million over 2016/2017. The main area contributing to the increase is leisure services ($0.55 million) due to expected increased patronage of Council facilities. Council has also anticipated a reduction in fees from the Transfer Station ($0.15 million) resulting from its temporary closure in the budget year. In addition, Council plans to increase user charges for all areas by 2.5% in line with expected inflationary trends over the budget period to maintain parity between user charges and the costs of service delivery. </t>
  </si>
  <si>
    <t>Contributions are projected to decrease by $0.60 million or 92.3% compared to 2016/2017 due mainly to the completion of a number of major property developments within the municipality during the 2016/2017 financial year.</t>
  </si>
  <si>
    <t>Proceeds from the disposal of Council assets is forecast to be $2.50 million for 2017/2018 and relate mainly to the planned cyclical replacement of part of the plant and vehicle fleet ($1.70 million) and sale of properties including surplus land and numerous rights-of-way throughout the municipality ($0.80 million). The written down value of assets sold is forecast to be $1.96 million.</t>
  </si>
  <si>
    <t>Other income is forecast to increase by 15.6% or $0.44 million compared to 2016/2017. Interest on investments is forecast to decline by 10.0% or $0.10 million compared to 2016/2017. This is mainly due to a forecast reduction in Council’s available cash reserves during 2017/2018 to fund major infrastructure projects. Interest on unpaid rates is forecast to increase by $0.03 million compared to 2016/2017 following an expected increase in the level of unpaid rates during 2017/2018. The increase in other income items is due mainly to an increased share of the operating surpluses from Council's outsourced leisure centres ($0.20 million) and payments from the State Revenue Office for the purchase of valuation data ($0.25 million).</t>
  </si>
  <si>
    <t>Employee costs are forecast to increase by 8.1% or $2.55 million compared to 2016/2017. This increase relates to three key factors:</t>
  </si>
  <si>
    <t>Materials and services include the purchases of consumables, payments to contractors for the provision of services and utility costs. Materials and services are forecast to decrease by 3.6% or $0.83 million compared to 2016/2017.</t>
  </si>
  <si>
    <t>Consumables is forecast to increase by $0.47 million or 13.8% compared to 2016/2017 and relates mainly to an increase in fuel costs to operate the Council’s plant and vehicle fleet as a result of significant increases in diesel and petrol prices.</t>
  </si>
  <si>
    <t>Utility costs relate to telecommunications, including usage of telephones and other utilities such as water, gas and electricity. Utility costs are forecast to increase by 2.1% or $0.08 million compared to 2016/2017 resulting from expected additional street lighting costs following an unfavourable renegotiation of Council’s electricity contract with its supplier.</t>
  </si>
  <si>
    <t>Depreciation is an accounting measure which attempts to allocate the value of an asset over its useful life for Council’s property, plant and equipment including infrastructure assets such as roads and drains. The increase of $0.47 million for 2017/2018 is due mainly to the completion of the 2017/2018 capital works program and the full year effect of depreciation on the 2016/2017 capital works program. Refer to Section 6. ‘Analysis of Capital Budget’ for a more detailed analysis of Council’s capital works program for the 2017/2018 year.</t>
  </si>
  <si>
    <t>Other expenses relate to a range of unclassified items including contributions to community groups, advertising, insurances, motor vehicle registrations and other miscellaneous expenditure items. Other expenses are forecast to decrease by 2.0% or $0.11 million compared to 2016/2017. This is mainly due to a reduction in Council’s contribution to the XYZ Children’s Services Association due to a change in government funding arrangements.</t>
  </si>
  <si>
    <t>Service Unit</t>
  </si>
  <si>
    <t>For 2017/2018 the total of principal repayments is $1.16 million and finance charges is $0.31 million.</t>
  </si>
  <si>
    <t>Overall, total cash and investments is forecast to decrease by $11.27 million to $12.21 million as at 30 June 2018, reflecting Council’s strategy of using excess cash and investments to enhance existing and create new infrastructure. This is consistent with Council’s Strategic Resource Plan (see Section 8), which forecasts a significant reduction in the capital works program from 2017/2018 onwards to balance future cash budgets.</t>
  </si>
  <si>
    <t>Cash and cash equivalents held by Council are restricted in part, and not fully available for Council’s operations. The budgeted cash flow statement above indicates that Council is estimating at 30 June 2018 it will have cash and investments of $12.21 million, which has been restricted as shown in the following table.</t>
  </si>
  <si>
    <t xml:space="preserve">There is no amount shown as cash held to fund carry forward works at 30 June 2018, as it is expected that the capital works budget in the 2017/2018 financial year will be fully completed.  An amount of $6.57 million is forecast to be held at 30 June 2017 to fund capital works budgeted but not completed in the 2016/2017 financial year. Section 6.2 contains further details on capital works funding.
</t>
  </si>
  <si>
    <t>These funds are shown as discretionary reserves as, although not restricted by a statutory purpose, Council has made decisions regarding the future use of these funds and unless there is a Council resolution these funds should be used for those earmarked purposes. During the 2017/2018 year $1.58 million is budgeted to be transferred to and $9.89 million from Discretionary Reserves. The decisions about future use of these funds has been reflected in Council’s Strategic Resource Plan and any changes in future use of the funds will be made in the context of the future funding requirements set out in the plan.</t>
  </si>
  <si>
    <t>At the end of each financial year there are likely to be projects which are either incomplete or not commenced due to factors including planning issues, weather delays and extended consultation. For the 2016/2017 year it is forecast that $7.13 million of capital works will be incomplete and be carried forward into the 2017/2018 year. The more significant projects include the Civic Precinct redevelopment ($0.75 million) and the Newlands Community Facility ($3.00 million).</t>
  </si>
  <si>
    <t>For the 2017/2018 year, $8.43 million will be expended on building and building improvement projects. The more significant projects include pavilion upgrades ($0.32 million), Victorian Community Facility ($1.20 million), redevelopment of the City Children’s Centre ($0.25 million), construction of a Velodrome and State Bowls Centre at Victoria Park ($4.00 million) and completion of the Block Arcade redevelopment ($0.97 million).</t>
  </si>
  <si>
    <t>For the 2017/2018 year, $4.84 million will be expended on plant, equipment and other projects. The more significant projects include ongoing cyclical replacement of the plant and vehicle fleet ($3.02 million), upgrade and replacement of information technology ($1.32 million) and library material purchases ($0.50 million).</t>
  </si>
  <si>
    <t>For the 2017/2018 year, $4.95 million will be expended on road projects. The more significant projects include local road reconstructions ($1.80 million), federally funded Roads to Recovery projects ($0.81 million), road resheeting ($0.80 million), road safety ($0.51 million), and Integrated Transport Plan ($0.22 million).
$1.65 million will be expended on drainage projects.  The more significant of these include road drainage replacement works ($0.87 million), Stage 1 of the Victoria Park Lake redevelopment ($0.50 million) and implementation of the Stormwater Management Plan ($0.22 million).
$2.56 million will be expended on parks, open space and streetscapes, including $1.90 million for the completion of Victoria Park.
Other infrastructure expenditure includes $0.01 million on bridges, $0.35 million on footpaths and cycleways, $0.62 million on recreational, leisure and community facilities, $0.08 million on car parks and $0.11 million on other infrastructure.</t>
  </si>
  <si>
    <t xml:space="preserve">At the end of each financial year there are projects which are either incomplete or not commenced due to factors including planning issues, weather delays and extended consultation. For the 2016/2017 year it is forecast that $7.13 million of capital works will be incomplete and be carried forward into the 2017/2018 year. Significant funding includes grants for the Municipal Offices ($0.15 million) and reserve cash and investments for the Municipal Offices ($0.75 million) and Newland Centre ($3.00 million). </t>
  </si>
  <si>
    <t>In addition to reserve investments, Council has uncommitted cash and investments which represent unrestricted cash and investments and funds preserved from the previous year mainly as a result of grants and contributions being received in advance. It is forecast that $0.72 million will be available from the 2016/2017 year to fund new capital works in the 2017/2018 year.</t>
  </si>
  <si>
    <t>12.2.4 Council cash - proceeds from sale of assets ($1.59 million)</t>
  </si>
  <si>
    <t>Other assets includes items such as prepayments for expenses that Council has paid in advance of service delivery, inventories or stocks held for sale or consumption in Council’s services and other revenues due to be received in the next 12 months. Accrued income is expected to reduce by $1.24 million as land sales which became unconditional at the end of the 2016/2017 year are paid.</t>
  </si>
  <si>
    <t>Trade and other payables are those to whom Council owes money as at 30 June. These liabilities are budgeted to remain consistent with 2016/2017 levels.</t>
  </si>
  <si>
    <r>
      <rPr>
        <sz val="10"/>
        <rFont val="Symbol"/>
        <family val="1"/>
        <charset val="2"/>
      </rPr>
      <t>·</t>
    </r>
    <r>
      <rPr>
        <sz val="10"/>
        <rFont val="Times New Roman"/>
        <family val="1"/>
      </rPr>
      <t>        </t>
    </r>
    <r>
      <rPr>
        <sz val="10"/>
        <rFont val="Arial"/>
        <family val="2"/>
      </rPr>
      <t>Trade creditors to be based on total capital and operating expenditure less written down value of 
       assets sold, depreciation and employee costs. Payment cycle is 30 days</t>
    </r>
  </si>
  <si>
    <r>
      <rPr>
        <sz val="10"/>
        <rFont val="Symbol"/>
        <family val="1"/>
        <charset val="2"/>
      </rPr>
      <t>·</t>
    </r>
    <r>
      <rPr>
        <sz val="10"/>
        <rFont val="Arial"/>
        <family val="2"/>
      </rPr>
      <t>      A total of 98.5% of total rates and charges raised will be collected in the 2017/2018 year (2016/2017: 
       97.8% forecast actual)</t>
    </r>
  </si>
  <si>
    <r>
      <rPr>
        <sz val="10"/>
        <rFont val="Symbol"/>
        <family val="1"/>
        <charset val="2"/>
      </rPr>
      <t>·</t>
    </r>
    <r>
      <rPr>
        <sz val="10"/>
        <rFont val="Arial"/>
        <family val="2"/>
      </rPr>
      <t>      Other debtors and creditors to remain consistent with 2016/2017 levels</t>
    </r>
  </si>
  <si>
    <r>
      <rPr>
        <sz val="10"/>
        <rFont val="Symbol"/>
        <family val="1"/>
        <charset val="2"/>
      </rPr>
      <t>·</t>
    </r>
    <r>
      <rPr>
        <sz val="10"/>
        <rFont val="Arial"/>
        <family val="2"/>
      </rPr>
      <t>       Proceeds from the sale of property in 2016/17 of $1.24 million will be received in full in the 2017/18 
        year</t>
    </r>
  </si>
  <si>
    <r>
      <rPr>
        <sz val="10"/>
        <rFont val="Symbol"/>
        <family val="1"/>
        <charset val="2"/>
      </rPr>
      <t>·</t>
    </r>
    <r>
      <rPr>
        <sz val="10"/>
        <rFont val="Times New Roman"/>
        <family val="1"/>
      </rPr>
      <t>        </t>
    </r>
    <r>
      <rPr>
        <sz val="10"/>
        <rFont val="Arial"/>
        <family val="2"/>
      </rPr>
      <t>Employee entitlements to be increased by the Collective Agreement outcome offset by the impact of 
       more active management of leave entitlements of staff</t>
    </r>
  </si>
  <si>
    <r>
      <rPr>
        <sz val="10"/>
        <rFont val="Symbol"/>
        <family val="1"/>
        <charset val="2"/>
      </rPr>
      <t>·</t>
    </r>
    <r>
      <rPr>
        <sz val="10"/>
        <rFont val="Times New Roman"/>
        <family val="1"/>
      </rPr>
      <t>         </t>
    </r>
    <r>
      <rPr>
        <sz val="10"/>
        <rFont val="Arial"/>
        <family val="2"/>
      </rPr>
      <t>Repayment of loan principal to be $1.16 million</t>
    </r>
  </si>
  <si>
    <r>
      <rPr>
        <sz val="10"/>
        <rFont val="Symbol"/>
        <family val="1"/>
        <charset val="2"/>
      </rPr>
      <t>·</t>
    </r>
    <r>
      <rPr>
        <sz val="10"/>
        <rFont val="Times New Roman"/>
        <family val="1"/>
      </rPr>
      <t>         </t>
    </r>
    <r>
      <rPr>
        <sz val="10"/>
        <rFont val="Arial"/>
        <family val="2"/>
      </rPr>
      <t>Total capital expenditure to be $21.95 million</t>
    </r>
  </si>
  <si>
    <r>
      <rPr>
        <sz val="10"/>
        <rFont val="Symbol"/>
        <family val="1"/>
        <charset val="2"/>
      </rPr>
      <t>·</t>
    </r>
    <r>
      <rPr>
        <sz val="10"/>
        <rFont val="Arial"/>
        <family val="2"/>
      </rPr>
      <t>       A total of $8.35 million to be transferred from reserves to accumulated surplus, representing the internal funding of the capital works program for the 2017/2018 year.</t>
    </r>
  </si>
  <si>
    <r>
      <t>·</t>
    </r>
    <r>
      <rPr>
        <sz val="10"/>
        <rFont val="Times New Roman"/>
        <family val="1"/>
      </rPr>
      <t xml:space="preserve">           </t>
    </r>
    <r>
      <rPr>
        <sz val="10"/>
        <rFont val="Arial"/>
        <family val="2"/>
      </rPr>
      <t>Achieve a breakeven operating result within five to six years</t>
    </r>
  </si>
  <si>
    <r>
      <t>·</t>
    </r>
    <r>
      <rPr>
        <sz val="10"/>
        <rFont val="Times New Roman"/>
        <family val="1"/>
      </rPr>
      <t xml:space="preserve">           </t>
    </r>
    <r>
      <rPr>
        <sz val="10"/>
        <rFont val="Arial"/>
        <family val="2"/>
      </rPr>
      <t>Maintain a capital expenditure program of at least $16 million per annum</t>
    </r>
  </si>
  <si>
    <r>
      <t>·</t>
    </r>
    <r>
      <rPr>
        <sz val="10"/>
        <rFont val="Times New Roman"/>
        <family val="1"/>
      </rPr>
      <t xml:space="preserve">           </t>
    </r>
    <r>
      <rPr>
        <sz val="10"/>
        <rFont val="Arial"/>
        <family val="2"/>
      </rPr>
      <t>Achieve a balanced budget on a cash basis.</t>
    </r>
  </si>
  <si>
    <r>
      <t>·</t>
    </r>
    <r>
      <rPr>
        <sz val="10"/>
        <rFont val="Times New Roman"/>
        <family val="1"/>
      </rPr>
      <t xml:space="preserve">           </t>
    </r>
    <r>
      <rPr>
        <sz val="10"/>
        <rFont val="Arial"/>
        <family val="2"/>
      </rPr>
      <t>Prudently manage financial risks relating to debt, assets and liabilities</t>
    </r>
  </si>
  <si>
    <r>
      <t>·</t>
    </r>
    <r>
      <rPr>
        <sz val="10"/>
        <rFont val="Times New Roman"/>
        <family val="1"/>
      </rPr>
      <t xml:space="preserve">           </t>
    </r>
    <r>
      <rPr>
        <sz val="10"/>
        <rFont val="Arial"/>
        <family val="2"/>
      </rPr>
      <t>Provide reasonable stability in the level of rate burden</t>
    </r>
  </si>
  <si>
    <r>
      <t>·</t>
    </r>
    <r>
      <rPr>
        <sz val="10"/>
        <rFont val="Times New Roman"/>
        <family val="1"/>
      </rPr>
      <t xml:space="preserve">           </t>
    </r>
    <r>
      <rPr>
        <sz val="10"/>
        <rFont val="Arial"/>
        <family val="2"/>
      </rPr>
      <t>Consider the financial effects of Council decisions on future generations</t>
    </r>
  </si>
  <si>
    <r>
      <t>·</t>
    </r>
    <r>
      <rPr>
        <sz val="10"/>
        <rFont val="Times New Roman"/>
        <family val="1"/>
      </rPr>
      <t xml:space="preserve">           </t>
    </r>
    <r>
      <rPr>
        <sz val="10"/>
        <rFont val="Arial"/>
        <family val="2"/>
      </rPr>
      <t>Provide full, accurate and timely disclosure of financial information.</t>
    </r>
  </si>
  <si>
    <t>Council has prepared an SRP for the four years 2017/2018 to 2020/2021 as part of its ongoing financial planning to assist in adopting a budget within a longer term framework. The SRP takes the strategic objectives and strategies as specified in the Council Plan and expresses them in financial terms for the next four years.</t>
  </si>
  <si>
    <r>
      <t>·</t>
    </r>
    <r>
      <rPr>
        <sz val="10"/>
        <rFont val="Times New Roman"/>
        <family val="1"/>
      </rPr>
      <t>        </t>
    </r>
    <r>
      <rPr>
        <b/>
        <sz val="10"/>
        <rFont val="Arial"/>
        <family val="2"/>
      </rPr>
      <t>Financial sustainability (Section 11)</t>
    </r>
    <r>
      <rPr>
        <sz val="10"/>
        <rFont val="Arial"/>
        <family val="2"/>
      </rPr>
      <t xml:space="preserve"> - Cash and investments is forecast to increase marginally over the four year period from $12.20 million to $13.03 million, which indicates a balanced budget on a cash basis in each year</t>
    </r>
  </si>
  <si>
    <r>
      <t>·</t>
    </r>
    <r>
      <rPr>
        <sz val="10"/>
        <rFont val="Times New Roman"/>
        <family val="1"/>
      </rPr>
      <t xml:space="preserve">           </t>
    </r>
    <r>
      <rPr>
        <sz val="10"/>
        <rFont val="Arial"/>
        <family val="2"/>
      </rPr>
      <t xml:space="preserve">Property values, form the central basis of rating under the </t>
    </r>
    <r>
      <rPr>
        <i/>
        <sz val="10"/>
        <rFont val="Arial"/>
        <family val="2"/>
      </rPr>
      <t>Local Government Act 1989</t>
    </r>
  </si>
  <si>
    <r>
      <t>·</t>
    </r>
    <r>
      <rPr>
        <sz val="10"/>
        <rFont val="Times New Roman"/>
        <family val="1"/>
      </rPr>
      <t>          </t>
    </r>
    <r>
      <rPr>
        <sz val="10"/>
        <rFont val="Arial"/>
        <family val="2"/>
      </rPr>
      <t xml:space="preserve"> A</t>
    </r>
    <r>
      <rPr>
        <sz val="10"/>
        <rFont val="Times New Roman"/>
        <family val="1"/>
      </rPr>
      <t xml:space="preserve"> </t>
    </r>
    <r>
      <rPr>
        <sz val="10"/>
        <rFont val="Arial"/>
        <family val="2"/>
      </rPr>
      <t>user pays component to reflect usage of certain services provided by Council</t>
    </r>
  </si>
  <si>
    <t>This appendix presents the fees and charges of a statutory and non-statutory nature which will be charged in respect to various goods and services provided during the 2017/2018 year.</t>
  </si>
  <si>
    <t>The 2017/2018 budget, which is included in this report, is for the year 1 July 2017 to 30 June 2018 and is prepared in accordance with the Act and Regulations. The budget includes financial statements being a Comprehensive Income Statement, Balance Sheet, Statement of Changes in Equity, Statement of Cash Flows and Statement of Capital Works. These statements have been prepared for the year ended 30 June 2018 in accordance with the Act and Regulations, and consistent with the annual financial statements which are prepared in accordance with Australian Accounting Standards.  The budget also includes information about the rates and charges to be levied, the capital works program to be undertaken, the human resources required, and other financial information Council requires in order to make an informed decision about the adoption of the budget.</t>
  </si>
  <si>
    <t>Jun-Aug</t>
  </si>
  <si>
    <r>
      <t>·</t>
    </r>
    <r>
      <rPr>
        <sz val="10"/>
        <rFont val="Times New Roman"/>
        <family val="1"/>
      </rPr>
      <t xml:space="preserve">           </t>
    </r>
    <r>
      <rPr>
        <sz val="10"/>
        <rFont val="Arial"/>
        <family val="2"/>
      </rPr>
      <t>Identification of capital projects through the preparation of asset management plans</t>
    </r>
  </si>
  <si>
    <r>
      <t>·</t>
    </r>
    <r>
      <rPr>
        <sz val="10"/>
        <rFont val="Times New Roman"/>
        <family val="1"/>
      </rPr>
      <t xml:space="preserve">           </t>
    </r>
    <r>
      <rPr>
        <sz val="10"/>
        <rFont val="Arial"/>
        <family val="2"/>
      </rPr>
      <t>Prioritisation of capital projects within classes on the basis of evaluation criteria</t>
    </r>
  </si>
  <si>
    <r>
      <t>·</t>
    </r>
    <r>
      <rPr>
        <sz val="10"/>
        <rFont val="Times New Roman"/>
        <family val="1"/>
      </rPr>
      <t xml:space="preserve">           </t>
    </r>
    <r>
      <rPr>
        <sz val="10"/>
        <rFont val="Arial"/>
        <family val="2"/>
      </rPr>
      <t>Methodology for allocating annual funding to classes of capital projects</t>
    </r>
  </si>
  <si>
    <r>
      <t>·</t>
    </r>
    <r>
      <rPr>
        <sz val="10"/>
        <rFont val="Times New Roman"/>
        <family val="1"/>
      </rPr>
      <t xml:space="preserve">           </t>
    </r>
    <r>
      <rPr>
        <sz val="10"/>
        <rFont val="Arial"/>
        <family val="2"/>
      </rPr>
      <t>Business Case template for officers to document capital project submissions.</t>
    </r>
  </si>
  <si>
    <t>In developing the Strategic Resource Plan SRP (see Section 14), borrowings was identified as an important funding source for capital works programs. In the past, Council has borrowed strongly to finance large infrastructure projects and since then has been in a phase of debt reduction. This has resulted in a reduction in debt servicing costs, but has meant that cash and investment reserves have been used as an alternate funding source to maintain robust capital works programs. With Council reserves now forecast to be $13.10 million at 30 June 2017 and a further significant reduction in 2017/2018 to complete current infrastructure works in progress, it has been necessary to reconsider the issue of borrowings.</t>
  </si>
  <si>
    <t xml:space="preserve">The SRP includes the results of an analysis of Council’s debt position against both State averages and large Council averages over a number of different indicators. It also shows the results of the ‘obligations’ indicators that are part of the prescribed financial reporting indicators.  The outcome of the analysis highlighted that a debt of $8.00 million could be comfortably accommodated. Council has set a target goal of reaching $4.00 million by 2017/2018 to allow spare debt capacity for future major projects. </t>
  </si>
  <si>
    <r>
      <t>·</t>
    </r>
    <r>
      <rPr>
        <sz val="10"/>
        <rFont val="Times New Roman"/>
        <family val="1"/>
      </rPr>
      <t xml:space="preserve">           </t>
    </r>
    <r>
      <rPr>
        <sz val="10"/>
        <rFont val="Arial"/>
        <family val="2"/>
      </rPr>
      <t>Long term capital planning process which integrates with the Council Plan, Strategic Resource Plan and Annual Budget processes</t>
    </r>
  </si>
  <si>
    <t>In updating the Infrastructure Strategy for the 2017/2018 year, the following influences have had a significant impact:</t>
  </si>
  <si>
    <t>Government funding for aged and disability services is expected to increase by approximately $0.14 million from 2016/2017. This includes General Home Care, Personal Care, Respite Care and Meals.</t>
  </si>
  <si>
    <t>Budget analysis</t>
  </si>
  <si>
    <t>The Council Plan 2017-2021 (Year 1), sets out our strategic plan to deliver our vision over the full term of the Council. As this is the first year of the current Council term, the focus over the next year will be on planning and design activities to deliver our current commitments.</t>
  </si>
  <si>
    <t xml:space="preserve">This Budget projects a surplus of $1.0m for 2017/2018, however, it should be noted that the adjusted underlying result is a deficit of $4.5m after adjusting for capital grants and contributions (refer Sections 5 and 10.1). </t>
  </si>
  <si>
    <t>xx</t>
  </si>
  <si>
    <t>Rate Cap Calculation - Model Budget</t>
  </si>
  <si>
    <t>DATA ENTRY</t>
  </si>
  <si>
    <t>Maximum Rate Increase (Set by the Minister)</t>
  </si>
  <si>
    <t>Rate in the dollar</t>
  </si>
  <si>
    <t>2016-17</t>
  </si>
  <si>
    <t># Change</t>
  </si>
  <si>
    <t>% Change</t>
  </si>
  <si>
    <t xml:space="preserve">Residential properties </t>
  </si>
  <si>
    <t xml:space="preserve">Commercial properties </t>
  </si>
  <si>
    <t xml:space="preserve">Industrial properties </t>
  </si>
  <si>
    <t xml:space="preserve">General Rates per category </t>
  </si>
  <si>
    <t>Number of assessments</t>
  </si>
  <si>
    <t>Proportion</t>
  </si>
  <si>
    <t>Annualised Supplementary Valuations</t>
  </si>
  <si>
    <t>Total Valuations</t>
  </si>
  <si>
    <t>Net Change in Valuation</t>
  </si>
  <si>
    <t>Rate in $          2015/16</t>
  </si>
  <si>
    <t>Change in Rates</t>
  </si>
  <si>
    <t>Budgeted general rates as at 1 July 2016</t>
  </si>
  <si>
    <t>Annualised Municipal Charge</t>
  </si>
  <si>
    <t>Municipal Charge - Per assessment</t>
  </si>
  <si>
    <t xml:space="preserve">Municipal Charge - Total </t>
  </si>
  <si>
    <t>2017-18</t>
  </si>
  <si>
    <t>Budgeted municipal charges as at 1 July 2016</t>
  </si>
  <si>
    <t>Budgeted general rates as at 1 July 2017</t>
  </si>
  <si>
    <t>We have also allocated funding to deliver tangible progress on other key priorities and initiatives including;
• expansion of the Community Grants program ($0.44 million)
• implementation of the aged partnerships program ($0.90 million)
• expansion of arboriculture services ($0.15 million)
• introduction of Council provided street cleansing service ($1.4 million)
• introduction of multicultural library and leisure services
• expansion of youth services ($0.06 million)
• opening of the Homestead Centre for Decorative Arts ($0.25 million)
• resourcing of the employment strategy ($0.18 million)
• opening of a new customer service centre at Victorian Community Centre ($0.11 million).</t>
  </si>
  <si>
    <r>
      <t xml:space="preserve">The proposed budget was developed through a rigorous process of consultation and review and Council endorses it as financially responsible. I encourage you to read the remainder of this document, in conjunction with our revised Council Plan 2017-2021 and I look forward to receiving your submission.
</t>
    </r>
    <r>
      <rPr>
        <b/>
        <sz val="10"/>
        <rFont val="Arial"/>
        <family val="2"/>
      </rPr>
      <t xml:space="preserve">Cr Jo Johnson 
Mayor
</t>
    </r>
  </si>
  <si>
    <t>This Budget Report has been prepared with reference to Chartered Accountants ANZ “Victorian City Council Model Budget 2017/2018” a best practice guide for reporting local government budgets in Victoria.</t>
  </si>
  <si>
    <r>
      <rPr>
        <b/>
        <sz val="10"/>
        <rFont val="Arial"/>
        <family val="2"/>
      </rPr>
      <t>Strategic Objective 6: Urban development and environment</t>
    </r>
    <r>
      <rPr>
        <sz val="10"/>
        <rFont val="Arial"/>
        <family val="2"/>
      </rPr>
      <t xml:space="preserve">
9) The major three year review of Council’s Municipal Strategic Statement will commence in July 2017 with a completion date of December 2017. This will be the main focus of work being undertaken by the Strategic Planning Unit next year ($Nil net cost).
10) In November 2017, Council resolved to deliver an in-house provided Street Cleansing service. This year’s allocation includes the recent employment of an additional 14 staff, plant maintenance, materials and tipping fees, to deliver this new in house service ($1.40 million net cost).</t>
    </r>
  </si>
  <si>
    <r>
      <rPr>
        <b/>
        <sz val="10"/>
        <rFont val="Arial"/>
        <family val="2"/>
      </rPr>
      <t>3. Key Statistics</t>
    </r>
    <r>
      <rPr>
        <sz val="10"/>
        <rFont val="Arial"/>
        <family val="2"/>
      </rPr>
      <t xml:space="preserve">
•    Total Revenue:                          $77.5M  (2016/2017 - $72.5M)
•    Total Expenditure:                     $76.5M  (2016/2017 - $74.5M)
•    Accounting Result:                    $1.0M Surplus (2016/2017 - $1.9M Deficit)
     (Refer Income Statement in Section 3)
•    Underlying operating result:  Deficit of $4.5M  (2016/2017 - Deficit of $4.7M)
     (Refer Analysis of operating Budget in Section 10.1)
     (Note: Underlying operating result is an important measure of financial sustainability as it excludes income which
     is to be used for capital, from being allocated to cover operating expenses)
•    Cash result:    $11.3M Deficit (2016/2017 - $8.9M Deficit)
     (Refer Statement of Cash Flows in Section 3)
     This is the net funding result after considering the funding requirements to meet loan principal repayments 
     and the reserve transfers.
•    Total Capital Works Program of $30.72M (2016/2017 - $29.87M)
      o $8.87M from Council operations (rates funded)
      o $0.0M from borrowings
      o $1.68M from asset sales
      o $6.28M from external grants 
      o $13.89M from cash and reserves</t>
    </r>
  </si>
  <si>
    <t>2016/2017 Forecast</t>
  </si>
  <si>
    <t>2017/2018 Budget</t>
  </si>
  <si>
    <t>2018/2019 Strategic Resource Plan</t>
  </si>
  <si>
    <t>2019/2020 Strategic Resource Plan</t>
  </si>
  <si>
    <t>2020/2021 Strategic Resource Plan</t>
  </si>
  <si>
    <t>The types of buildings on the land within this differential rate are all buildings which are now constructed on the land or which are constructed prior to the expiry of the 2017/2018 financial year.</t>
  </si>
  <si>
    <t>The geographic location of the land within this differential rate is wherever located within the municipal district, without reference to ward boundaries.  The use of the land within this differential rate, in the case of improved land, is any use of land.</t>
  </si>
  <si>
    <t>Base Average Rates (2016/2017)</t>
  </si>
  <si>
    <t>Capped Average Rate (2017/2018)</t>
  </si>
  <si>
    <t>NOTE - Sections 8 onwards are considered best practice - they are not required to meet statutory requirements</t>
  </si>
  <si>
    <t>Check</t>
  </si>
  <si>
    <t>Supplementary rates and charges</t>
  </si>
  <si>
    <t>Annualised Supplementary Valuations as at 30 June 2016</t>
  </si>
  <si>
    <t>Annualised Municipal Charge as at 30 June 2016</t>
  </si>
  <si>
    <t>Number of assessments at 30 June 2016</t>
  </si>
  <si>
    <t>BASE AVERAGE RATE  (2016/17)</t>
  </si>
  <si>
    <t xml:space="preserve">TOTAL  </t>
  </si>
  <si>
    <t>CAPPED AVERAGE RATE (2017/18)</t>
  </si>
  <si>
    <t>Cultural and Recreational properties *</t>
  </si>
  <si>
    <t>Number of assessments at 1 July 2016</t>
  </si>
  <si>
    <t xml:space="preserve">MAXIMUM GENERAL RATES AND MUNICIPAL CHARGES REVENUE </t>
  </si>
  <si>
    <t>Municipal Charge as at 1 July 2017</t>
  </si>
  <si>
    <t>Note that Cultural and Recreational Charges in Lieu of Rates are not rates and should not be included here. They are not capped.</t>
  </si>
  <si>
    <t>* However, municipal charges levied on cultural and recreational properties are subject to the cap.</t>
  </si>
  <si>
    <t>WORKING SHEET ONLY</t>
  </si>
  <si>
    <t>Budgeted General Rates and Municipal Charges Revenue</t>
  </si>
  <si>
    <t>These items alone are equivalent to a 2.3 per cent rate increase, over and above the mandatory 2.0 per cent increase in our base costs for delivering core services and projects allowed by the FGRS.</t>
  </si>
  <si>
    <t xml:space="preserve">To ease the impact on ratepayers and ensure users help pay for Council services, we are proposing to increase most fees and charges by 2.0 per cent, in line with projected inflation. </t>
  </si>
  <si>
    <r>
      <t>·</t>
    </r>
    <r>
      <rPr>
        <sz val="10"/>
        <rFont val="Times New Roman"/>
        <family val="1"/>
      </rPr>
      <t xml:space="preserve"> </t>
    </r>
    <r>
      <rPr>
        <sz val="10"/>
        <rFont val="Arial"/>
        <family val="2"/>
      </rPr>
      <t>Consumer Price Index (CPI) increases on goods and services of 1.4% through the year to the September quarter 2016. State-wide CPI is forecast to be 2.0% for the 2017/2018 year (Victorian Budget Papers 2016/17).</t>
    </r>
  </si>
  <si>
    <r>
      <rPr>
        <sz val="10"/>
        <rFont val="Symbol"/>
        <family val="1"/>
        <charset val="2"/>
      </rPr>
      <t xml:space="preserve">· </t>
    </r>
    <r>
      <rPr>
        <sz val="10"/>
        <rFont val="Arial"/>
        <family val="2"/>
      </rPr>
      <t>Australian Average Weekly Earnings (AWE) growth for Public Sector full-time adult ordinary time earnings in the 12 months to May 2016 was 3.4% (ABS release 18 August 2016). The wages price index in Victoria is projected to be 2.5% per annum in 2017/2018 increasing to 3.0% and 3.5% in the subsequent two years (Victorian Budget Papers 2016/2017).  Council must renegotiate a new Collective Agreement during the 2017/2018 year for commencement on 1 July 2018.</t>
    </r>
  </si>
  <si>
    <r>
      <t xml:space="preserve">· </t>
    </r>
    <r>
      <rPr>
        <sz val="10"/>
        <rFont val="Arial"/>
        <family val="2"/>
      </rPr>
      <t>Reduction of $0.40 million in Victorian Grants Commission funding compared to the prior year.</t>
    </r>
  </si>
  <si>
    <r>
      <t xml:space="preserve">· </t>
    </r>
    <r>
      <rPr>
        <sz val="10"/>
        <rFont val="Arial"/>
        <family val="2"/>
      </rPr>
      <t>Receipt of significant capital works funding of $6.28 million for the construction of a Velodrome and State Bowls Centre at Victoria Park and the completion of Roads to Recovery projects.</t>
    </r>
  </si>
  <si>
    <r>
      <t xml:space="preserve">· </t>
    </r>
    <r>
      <rPr>
        <sz val="10"/>
        <rFont val="Arial"/>
        <family val="2"/>
      </rPr>
      <t>Cost Shifting occurs where Local Government provides a service to the community on behalf of the State and Federal Government. Over time the funds received by local governments do not increase in line with real cost increases. Examples of services that are subject to Cost Shifting include school crossing supervisors, library services and home and community care for aged residents. In all these services the level of payment received by Council from the State Government does not reflect the real cost of providing the service to the community.</t>
    </r>
  </si>
  <si>
    <r>
      <t xml:space="preserve">· </t>
    </r>
    <r>
      <rPr>
        <sz val="10"/>
        <rFont val="Arial"/>
        <family val="2"/>
      </rPr>
      <t>Councils across Australia raise approximately 3.5% of the total taxation collected by all levels of Government in Australia. In addition Councils are entrusted with the maintenance of more than 30% of all Australian public assets including roads, bridges, parks, footpaths and public buildings.  This means that a large proportion of Council's income must be allocated to the maintenance and replacement of these valuable public assets in order to ensure the quality of public infrastructure is maintained at satisfactory levels.</t>
    </r>
  </si>
  <si>
    <r>
      <rPr>
        <b/>
        <sz val="10"/>
        <rFont val="Arial"/>
        <family val="2"/>
      </rPr>
      <t xml:space="preserve">6. Cost Shifting </t>
    </r>
    <r>
      <rPr>
        <sz val="10"/>
        <rFont val="Arial"/>
        <family val="2"/>
      </rPr>
      <t xml:space="preserve">
Cost shifting occurs when Commonwealth and State programs transfer responsibilities to local government with insufficient funding or grants which don’t keep pace with delivery costs.
</t>
    </r>
    <r>
      <rPr>
        <i/>
        <sz val="10"/>
        <rFont val="Arial"/>
        <family val="2"/>
      </rPr>
      <t>Type 1: Cost Shifting for Specific Services</t>
    </r>
    <r>
      <rPr>
        <sz val="10"/>
        <rFont val="Arial"/>
        <family val="2"/>
      </rPr>
      <t xml:space="preserve">
1. Home and Community Care (HACC) - $1.42m from 2011/2012 to 2017/2018
2. Library Services - $367k from 2011/2012 to 2017/2018
3. Maternal and Child Health - $193k from 2011/2012 to 2017/2018
4. School Crossing Supervision - $100k from 2011/2012 to 2017/2018 - The State Government has recently announced it will start to honour the existing agreement to pay 50% of the costs for school crossing supervision.  It acknowledges that payments to Councils in the past have not covered the agreed 50% of the cost.  While this announcement is welcomed the details of the level of payments in future have not yet been provided. 
5. Administration of the state wide temporary Food registration system ‘ Streatrader’– additional annual cost of $85k since 2013/2014 due to the responsibility having been shifted from the State Government to Council.
</t>
    </r>
  </si>
  <si>
    <r>
      <rPr>
        <i/>
        <sz val="10"/>
        <rFont val="Arial"/>
        <family val="2"/>
      </rPr>
      <t>Type 3: Statutory fee that prohibits full cost recovery</t>
    </r>
    <r>
      <rPr>
        <sz val="10"/>
        <rFont val="Arial"/>
        <family val="2"/>
      </rPr>
      <t xml:space="preserve">
8. After freezing planning fees since 2009 the State Government in October 2016 increased the allowable fee that Council may charge for these services.  While this belated action is welcomed the new fees still do not cover the full cost of providing the service hence rate payers are still forced to subsidise the activities of developers across the city.  </t>
    </r>
  </si>
  <si>
    <r>
      <rPr>
        <i/>
        <sz val="10"/>
        <rFont val="Arial"/>
        <family val="2"/>
      </rPr>
      <t>Type 4: Levies</t>
    </r>
    <r>
      <rPr>
        <sz val="10"/>
        <rFont val="Arial"/>
        <family val="2"/>
      </rPr>
      <t xml:space="preserve">
9. State Government landfill levy - The levy has increased from $9 per tonne in 2008/2009 to a forecast $63.27 per tonne in 2017/2018. The increase from 2016/2017 to 2017/2018 is approximately 2%.
10. Animal registration levy - $190k from 2011/2012 to $340,000 2017/2018
11. Congestion levy (off street car parks) - $146k per annum from 2016/2017
</t>
    </r>
  </si>
  <si>
    <t>Other</t>
  </si>
  <si>
    <t>TOTAL NEW CAPITAL WORKS 2017/2018</t>
  </si>
  <si>
    <t>In developing the Strategic Resource Plan (referred to in Section 14.), rates and charges were identified as an important source of revenue, accounting for 56.8% of the total revenue received by Council annually. Planning for future rate increases has therefore been an important component of the Strategic Resource Planning process. The State Government have introduced the Fair Go Rates System (FGRS) which sets out the maximum amount councils may increase rates in a year. For 2017/2018 the FGRS cap has been set at 2.0%. The cap applies to both general rates and municipal charges and is calculated on the basis of council’s average rates and charges.  
The level of required rates and charges has been considered in this context, with reference to Council's other sources of income and the planned expenditure on services and works to be undertaken for the Victorian community.</t>
  </si>
  <si>
    <t>Cultural and Recreational Charges - in lieu of rates</t>
  </si>
  <si>
    <t xml:space="preserve">In order to achieve these objectives while maintaining service levels and a strong capital expenditure program, the average general rate and municipal charge will increase by 2.0% in line with the rate cap. Kerbside collection charge by 3.9% and the recycling charge by 5.3%. This will raise total rate and charges for 2017/18 of $43.46 million, including $0.98 million generated from supplementary rates. Council’s municipal and recycling charges have increased by more than the general rate due to an increase in administrative costs (municipal charge) and renegotiation of council’s collection services contract (recycling). </t>
  </si>
  <si>
    <r>
      <rPr>
        <sz val="10"/>
        <rFont val="Symbol"/>
        <family val="1"/>
        <charset val="2"/>
      </rPr>
      <t>·</t>
    </r>
    <r>
      <rPr>
        <sz val="10"/>
        <rFont val="Arial"/>
        <family val="2"/>
      </rPr>
      <t xml:space="preserve">          The making of supplementary valuations (2017/2018: estimated $981,000, 2016/2017: $464,753)</t>
    </r>
  </si>
  <si>
    <r>
      <rPr>
        <sz val="10"/>
        <rFont val="Symbol"/>
        <family val="1"/>
        <charset val="2"/>
      </rPr>
      <t>·</t>
    </r>
    <r>
      <rPr>
        <sz val="10"/>
        <rFont val="Arial"/>
        <family val="2"/>
      </rPr>
      <t xml:space="preserve">          The variation of returned levels of value (e.g. valuation appeals);</t>
    </r>
  </si>
  <si>
    <r>
      <rPr>
        <sz val="10"/>
        <rFont val="Symbol"/>
        <family val="1"/>
        <charset val="2"/>
      </rPr>
      <t>·</t>
    </r>
    <r>
      <rPr>
        <sz val="10"/>
        <rFont val="Arial"/>
        <family val="2"/>
      </rPr>
      <t xml:space="preserve">          Changes of use of land such that rateable land becomes non-rateable land and vice versa; and</t>
    </r>
  </si>
  <si>
    <r>
      <rPr>
        <sz val="10"/>
        <rFont val="Symbol"/>
        <family val="1"/>
        <charset val="2"/>
      </rPr>
      <t>·</t>
    </r>
    <r>
      <rPr>
        <sz val="10"/>
        <rFont val="Arial"/>
        <family val="2"/>
      </rPr>
      <t xml:space="preserve">          Changes of use of land such that residential land becomes business land and vice versa.</t>
    </r>
  </si>
  <si>
    <r>
      <t>·</t>
    </r>
    <r>
      <rPr>
        <sz val="10"/>
        <rFont val="Times New Roman"/>
        <family val="1"/>
      </rPr>
      <t xml:space="preserve">           </t>
    </r>
    <r>
      <rPr>
        <sz val="10"/>
        <rFont val="Arial"/>
        <family val="2"/>
      </rPr>
      <t>A general rate of 0.253422% (0.248354 cents in the dollar of CIV) for all rateable residential properties; and</t>
    </r>
  </si>
  <si>
    <r>
      <t>·</t>
    </r>
    <r>
      <rPr>
        <sz val="10"/>
        <rFont val="Times New Roman"/>
        <family val="1"/>
      </rPr>
      <t xml:space="preserve">           </t>
    </r>
    <r>
      <rPr>
        <sz val="10"/>
        <rFont val="Arial"/>
        <family val="2"/>
      </rPr>
      <t>A general rate of 0.442976% (0.434116 cents in the dollar of CIV) for all rateable commercial or industrial properties.</t>
    </r>
  </si>
  <si>
    <t>Commercial or Industrial land</t>
  </si>
  <si>
    <r>
      <t>·</t>
    </r>
    <r>
      <rPr>
        <sz val="10"/>
        <rFont val="Times New Roman"/>
        <family val="1"/>
      </rPr>
      <t xml:space="preserve">           </t>
    </r>
    <r>
      <rPr>
        <sz val="10"/>
        <rFont val="Arial"/>
        <family val="2"/>
      </rPr>
      <t>Unoccupied but zoned residential under the City of Victoria Planning Scheme and which is not commercial or industrial land.</t>
    </r>
  </si>
  <si>
    <t>Maximum Rate Increase (set by the State Government)</t>
  </si>
  <si>
    <t>The Act requires a Strategic Resource Plan (SRP) to be prepared describing both financial and non-financial resources (including human resources) for at least the next four financial years to achieve the strategic objectives in the Council Plan. In preparing the SRP, Council must take into account all other plans and strategies in regard to services and initiatives which commit financial and non-financial resources for the period of the SRP.</t>
  </si>
  <si>
    <t>The following table summarises the key financial results for the next four years as set out in the SRP for years 2017/2018 to 2020/2021. Section 3 includes a more detailed analysis of the financial resources to be used over the four year period.</t>
  </si>
  <si>
    <r>
      <rPr>
        <sz val="10"/>
        <rFont val="Symbol"/>
        <family val="1"/>
        <charset val="2"/>
      </rPr>
      <t>·</t>
    </r>
    <r>
      <rPr>
        <sz val="10"/>
        <rFont val="Arial"/>
        <family val="2"/>
      </rPr>
      <t xml:space="preserve">     </t>
    </r>
    <r>
      <rPr>
        <b/>
        <sz val="10"/>
        <rFont val="Arial"/>
        <family val="2"/>
      </rPr>
      <t>Service delivery strategy (section 16)</t>
    </r>
    <r>
      <rPr>
        <sz val="10"/>
        <rFont val="Arial"/>
        <family val="2"/>
      </rPr>
      <t xml:space="preserve"> – Service levels have been maintained throughout the four year period. Despite this, operating surpluses are forecast in years 2017/2018 and 2018/2019 as a result of significant capital grant revenue being received to fund the annual capital works program.  Years 2019/2020 and 2020/2021 forecast operating deficits with a view to breaking even.  However, excluding the effects of capital items such as capital grants and contributions, the adjusted underlying result is a deficit reducing over the four year period. The underlying result is a measure of financial sustainability and is an important measure as once-off capital items can often mask the operating result.</t>
    </r>
  </si>
  <si>
    <r>
      <t>·</t>
    </r>
    <r>
      <rPr>
        <sz val="10"/>
        <rFont val="Times New Roman"/>
        <family val="1"/>
      </rPr>
      <t>        </t>
    </r>
    <r>
      <rPr>
        <b/>
        <sz val="10"/>
        <rFont val="Arial"/>
        <family val="2"/>
      </rPr>
      <t>Borrowing strategy (Section 16)</t>
    </r>
    <r>
      <rPr>
        <sz val="10"/>
        <rFont val="Arial"/>
        <family val="2"/>
      </rPr>
      <t xml:space="preserve"> – Borrowings are forecast to reduce from $4.90 million to $3.28 million over the four year period. This includes new borrowings of $2.00 million in 2019/2020.</t>
    </r>
  </si>
  <si>
    <r>
      <t>·</t>
    </r>
    <r>
      <rPr>
        <sz val="10"/>
        <rFont val="Times New Roman"/>
        <family val="1"/>
      </rPr>
      <t>         </t>
    </r>
    <r>
      <rPr>
        <b/>
        <sz val="10"/>
        <rFont val="Arial"/>
        <family val="2"/>
      </rPr>
      <t>Infrastructure strategy (Section 16)</t>
    </r>
    <r>
      <rPr>
        <sz val="10"/>
        <rFont val="Arial"/>
        <family val="2"/>
      </rPr>
      <t xml:space="preserve"> - Capital expenditure over the four year period will total $89.84  million at an average of $22.46 million. Excluding the Lawn Bowls and Velodrome works, the average is $18.40 million.</t>
    </r>
  </si>
  <si>
    <t>In developing the Strategic Resource Plan (referred to in Section 14), rates and charges were identified as an important source of revenue, accounting for 59.1% of the total revenue received by Council annually. Planning for future rate increases has therefore been an important component of the Strategic Resource Planning process.  The level of required rates and charges has been considered in this context, with reference to Council's other sources of income and the planned expenditure on services and works to be undertaken for the Victorian community.</t>
  </si>
  <si>
    <r>
      <t>·</t>
    </r>
    <r>
      <rPr>
        <sz val="10"/>
        <rFont val="Times New Roman"/>
        <family val="1"/>
      </rPr>
      <t>          </t>
    </r>
    <r>
      <rPr>
        <sz val="10"/>
        <rFont val="Arial"/>
        <family val="2"/>
      </rPr>
      <t xml:space="preserve"> A fixed municipal charge per property to cover some of the administrative costs of the Council</t>
    </r>
    <r>
      <rPr>
        <sz val="10"/>
        <rFont val="Times New Roman"/>
        <family val="1"/>
      </rPr>
      <t>.</t>
    </r>
  </si>
  <si>
    <t>The following table summarises the rates to be determined for the 2017/2018 year.  A more detailed analysis of the rates to be raised is contained in Section 7 Rates and Charges.</t>
  </si>
  <si>
    <t>For the 2017/2018 year, Council has decided not to take out any new borrowings to fund the capital works program and therefore, after making loan repayments of $1.47 million, will reduce its total borrowings to $4.89 million as at 30 June 2018. However, it is likely that in future years, borrowings will be required to fund future infrastructure initiatives. The following table sets out future proposed borrowings, based on the forecast financial position of Council as at 30 June 2017.</t>
  </si>
  <si>
    <t>2016/2017
$'000</t>
  </si>
  <si>
    <t>2017/2018
$'000</t>
  </si>
  <si>
    <t>At present, Council is similar to most municipalities in that it is presently unable to fully fund asset renewal requirements identified in the Infrastructure Strategy. While the Infrastructure Strategy is endeavouring to provide a sufficient level of annual funding to meet ongoing asset renewal needs, the above graph indicates that in later years the required asset renewal is not being addressed creating an asset renewal gap and increasing the level of backlog. Backlog is the renewal works that Council has not been able to fund over the past years and is equivalent to the accumulated asset renewal gap. In the above graph the backlog at the beginning of the period was $5.00 million and $8.43 million at the end of the period.</t>
  </si>
  <si>
    <r>
      <t xml:space="preserve">· </t>
    </r>
    <r>
      <rPr>
        <sz val="10"/>
        <rFont val="Arial"/>
        <family val="2"/>
      </rPr>
      <t>Reduction in the amount of cash and investment reserves to fund future capital expenditure programs.</t>
    </r>
  </si>
  <si>
    <r>
      <t xml:space="preserve">· </t>
    </r>
    <r>
      <rPr>
        <sz val="10"/>
        <rFont val="Arial"/>
        <family val="2"/>
      </rPr>
      <t>Environmental issues at the Victoria Park Lake resulting in the bringing forward of future planned expenditure.</t>
    </r>
  </si>
  <si>
    <r>
      <t xml:space="preserve">· </t>
    </r>
    <r>
      <rPr>
        <sz val="10"/>
        <rFont val="Arial"/>
        <family val="2"/>
      </rPr>
      <t>Availability of significant Federal funding for upgrade of roads.</t>
    </r>
  </si>
  <si>
    <r>
      <t xml:space="preserve">· </t>
    </r>
    <r>
      <rPr>
        <sz val="10"/>
        <rFont val="Arial"/>
        <family val="2"/>
      </rPr>
      <t>Decision by the Victorian State Government to award Council with construction of a Velodrome and Lawn Bowls Centre within its municipality.</t>
    </r>
  </si>
  <si>
    <r>
      <t>·</t>
    </r>
    <r>
      <rPr>
        <sz val="10"/>
        <rFont val="Times New Roman"/>
        <family val="1"/>
      </rPr>
      <t> </t>
    </r>
    <r>
      <rPr>
        <sz val="10"/>
        <rFont val="Arial"/>
        <family val="2"/>
      </rPr>
      <t>New building regulations requiring all Child Care Centres to immediately upgrade to ensure compliance.</t>
    </r>
  </si>
  <si>
    <t xml:space="preserve">Waste tipping fees for inert waste are expected to rise further as the State Government has increased the levy payable upon disposal of waste at landfill.  Following increases of $53.33 per tonne since 2008/2009, the fee will rise a further $1.24 per tonne (2.3%) in 2017/2018.  The financial impact will be to increase tipping fee costs at the Transfer Station from $0.36 million in 2016/2017 to $0.46 million in 2017/2018. The pricing structure currently in place for Transfer Station users will be adjusted to absorb all future cost increases. </t>
  </si>
  <si>
    <t xml:space="preserve">Waste tipping charges associated with the disposal of residential garbage and also growth in the number of tenements (1,000 pa over the five year period) are expected to result in an increase of $0.03 million per annum excluding CPI.  The increased landfill levy will also increase the cost of residential garbage disposal by $0.18 million in the 2017/18 financial year. </t>
  </si>
  <si>
    <t>The Council is required to revalue all properties within the municipality every two years. The last general revaluation was carried out as at 1 January 2016 effective for the 2016/17 year and the next revaluation will be undertaken as at 1 January 2018. An allowance of $0.08 million has been made every two years commencing in 2017/2018 to meet the additional cost of resources to complete the revaluation process.</t>
  </si>
  <si>
    <t>The contract for the provision of animal control services has ended and is currently being renegotiated. It is expected that the cost of this service will rise from $0.36 million to $0.40 million per annum. This will be offset by predicted increases in registration fees of 5% above CPI or $0.02 million per annum in 2017/2018 and 2018/2019.</t>
  </si>
  <si>
    <t>If a Council wishes to seek a rate increase above the maximum allowable it must submit a rate variation submission to the Essential Services Commission (ESC).  The ESC will determine whether the rate increase variation submission has been successful by 31 May.  In many cases this will require Councils to undertake ‘public notice’ on two separate proposed budgets simultaneously, i.e. the Ministers maximum rate increase and the Council’s required rate increase.   
The final step is for Council to adopt the budget after receiving and considering any submissions from interested parties. The budget is required to be adopted by 30 June and a copy submitted to the Minister within 28 days after adoption. The key dates for the budget process are summarised below:</t>
  </si>
  <si>
    <t>1.   Minister of Local Government announces maximum rate increase</t>
  </si>
  <si>
    <t>Dec</t>
  </si>
  <si>
    <t>2.   Officers update Council's long term financial projections</t>
  </si>
  <si>
    <t>3.   Council to advise ESC if it intends to make a rate variation submission</t>
  </si>
  <si>
    <t>Mar</t>
  </si>
  <si>
    <t>5.   Officers prepare operating and capital budgets</t>
  </si>
  <si>
    <t>6.   Councillors consider draft budgets at informal briefings</t>
  </si>
  <si>
    <t>8.   Public notice advising intention to adopt budget</t>
  </si>
  <si>
    <t>9.   Budget available for public inspection and comment</t>
  </si>
  <si>
    <t>10. Public submission process undertaken</t>
  </si>
  <si>
    <t>11. Submissions period closes (28 days)</t>
  </si>
  <si>
    <t>12. Submissions considered by Council/Committee</t>
  </si>
  <si>
    <t>13. Budget and submissions presented to Council for adoption</t>
  </si>
  <si>
    <t>14. Copy of adopted budget submitted to the Minister</t>
  </si>
  <si>
    <t>15. Revised budget where a material change has arisen</t>
  </si>
  <si>
    <t>4.   Council submits formal rate variation submission to ESC</t>
  </si>
  <si>
    <t>Victorian City Council Budget Report – 2017/2018</t>
  </si>
  <si>
    <t xml:space="preserve">Council has prepared a Budget for 2017/2018 which is aligned to the vision in the Council Plan 2017-2021. It seeks to maintain and improve services and infrastructure as well as deliver projects and services that are valued by our community, and do this within the rate increase mandated by the State Government. </t>
  </si>
  <si>
    <r>
      <rPr>
        <b/>
        <sz val="10"/>
        <rFont val="Arial"/>
        <family val="2"/>
      </rPr>
      <t>Strategic Objective 2: Community and economic development</t>
    </r>
    <r>
      <rPr>
        <sz val="10"/>
        <rFont val="Arial"/>
        <family val="2"/>
      </rPr>
      <t xml:space="preserve">
4) Council is the lead agency on aged partnerships project and although grants were received in 2016/2017, the majority of programs will be implemented during the next financial year ($0.90 million net cost).
5) Resourcing of the Employment Strategy will see the engagement of a part-time employment co-coordinator to ensure that Council gains its fair share of employment programs and is able to respond to employment and training issues in the municipality. Resources also include provision for Council’s participation in the State Government’s Community Jobs Program and implementing recommendations from the Employment Strategy ($0.18 million net cost).</t>
    </r>
  </si>
  <si>
    <r>
      <rPr>
        <b/>
        <sz val="10"/>
        <rFont val="Arial"/>
        <family val="2"/>
      </rPr>
      <t>2. The Rate Rise</t>
    </r>
    <r>
      <rPr>
        <sz val="10"/>
        <rFont val="Arial"/>
        <family val="2"/>
      </rPr>
      <t xml:space="preserve">
a. The average rate will rise by 2.0% in line with the order by the Minister for Local Government on 19 December 2016 under the Fair Go Rates System.
b. Key drivers
        i. To fund ongoing service delivery – business as usual (balanced with greater service demands from 
            residents)
        ii. To fund renewal of infrastructure and community assets
        iii. To cope with growth in the population of Victorian residents (2.2% in the last year)
       iv. To cope with cost shifting from the State Government
        v. To cope with a reduction in funding from the Commonwealth Government via the Victoria Grants 
            Commission caused by their freezing of indexation of the grant 
c. This is not a revaluation year. Valuations will be as per the General Revaluation dated 1 January 2018 (as amended by supplementary valuations).
d. The waste service charge incorporating kerbside collection and recycling will increase by 4.2% per property. 
e. Note that for every $100 in taxes paid by Victorian residents, rates make up approximately $3.50. The other $96.50 goes to the State and Federal Governments.
f. Refer Section 7 for further Rates and Charges details.</t>
    </r>
  </si>
  <si>
    <t>As Councillors, it is our job to listen to community sentiment and understand your priorities. During and following the Council elections in 2016 we have consistently heard that Council’s services are valued by the community, and that Council also needs to be financially responsible and keep its rates as low as possible. In response, Council has continued an enterprise wide approach to identify savings that don’t impact on its services, to provide increased value for money to ratepayers. Council will continue to focus on identifying sustainable cost savings that will enable it to deliver on our Council Plan to deliver high quality, responsive and accessible services to the community</t>
  </si>
  <si>
    <t>9.     Budget influences</t>
  </si>
  <si>
    <t>The Councillors and I are pleased to release the proposed Budget 2017/2018 to the Community for comment and public submissions. This budget builds on our Council Plan 2017-2021 vision which focuses on the following six key areas:</t>
  </si>
  <si>
    <t>The proposed budget proposes a rate increase of 2.0 per cent. This is in line with the Fair Go Rates System (FGRS) which has capped rates increases by Victorian Councils.</t>
  </si>
  <si>
    <t>Council has also identified a number of significant and unexpected cost and revenue impacts during the
budget process which it has had to fund. These include;
• an anticipated increase of 2.0 per cent in the State Government landfill levy ($200,000)
• increased costs relating to statutory requirements for power line clearances ($250,000)
• higher than inflation labour cost increases of 3.7 per cent which are linked to the current Enterprise
Agreement ($420,000).</t>
  </si>
  <si>
    <r>
      <rPr>
        <b/>
        <sz val="10"/>
        <rFont val="Arial"/>
        <family val="2"/>
      </rPr>
      <t>Strategic Objective 1: Advocacy and leadership</t>
    </r>
    <r>
      <rPr>
        <sz val="10"/>
        <rFont val="Arial"/>
        <family val="2"/>
      </rPr>
      <t xml:space="preserve">
3) Additional funding to the Community Grants program, which is the first additional funding for some years for this
significant community program ($0.44 million net cost).</t>
    </r>
  </si>
  <si>
    <t>The following reports include all statutory disclosures of information and are supported by the analysis contained in sections 8 to 16 of this report.</t>
  </si>
  <si>
    <t>3       Financial Statements</t>
  </si>
  <si>
    <t>5       Grants and borrowings</t>
  </si>
  <si>
    <t>6.  Urban development and environment</t>
  </si>
  <si>
    <r>
      <t>6)</t>
    </r>
    <r>
      <rPr>
        <sz val="7"/>
        <rFont val="Times New Roman"/>
        <family val="1"/>
      </rPr>
      <t xml:space="preserve">         </t>
    </r>
    <r>
      <rPr>
        <sz val="10"/>
        <rFont val="Arial"/>
        <family val="2"/>
      </rPr>
      <t>Increase in service provision from Youth Resource Centre at Victorian Civic Centre.  Support for youth consortium work, and for a young mother’s group run jointly with maternal and child health nurse and youth worker.  Council’s music centre to offer more employment opportunities to 8 young people in music related disciplines. ($0.06 million net cost).</t>
    </r>
  </si>
  <si>
    <r>
      <t>7)</t>
    </r>
    <r>
      <rPr>
        <sz val="7"/>
        <rFont val="Times New Roman"/>
        <family val="1"/>
      </rPr>
      <t xml:space="preserve">         </t>
    </r>
    <r>
      <rPr>
        <sz val="10"/>
        <rFont val="Arial"/>
        <family val="2"/>
      </rPr>
      <t>Increase to hours for pre-school field officer who currently is funded for 28 hours per week, but provides service to over 100 families and 30 pre-schools in Council. ($0.02 million net cost).</t>
    </r>
  </si>
  <si>
    <r>
      <t>8)</t>
    </r>
    <r>
      <rPr>
        <sz val="7"/>
        <rFont val="Times New Roman"/>
        <family val="1"/>
      </rPr>
      <t xml:space="preserve">         </t>
    </r>
    <r>
      <rPr>
        <sz val="10"/>
        <rFont val="Arial"/>
        <family val="2"/>
      </rPr>
      <t>New programs will be developed to reflect the cultural diversity of Council including a community languages program through the Library Services, a volunteer’s support network for leisure organisation volunteers and opportunities for new residents to participate in culturally relevant activities. ($Nil net cost).</t>
    </r>
  </si>
  <si>
    <r>
      <t>9)</t>
    </r>
    <r>
      <rPr>
        <sz val="7"/>
        <rFont val="Times New Roman"/>
        <family val="1"/>
      </rPr>
      <t xml:space="preserve">         </t>
    </r>
    <r>
      <rPr>
        <sz val="10"/>
        <rFont val="Arial"/>
        <family val="2"/>
      </rPr>
      <t>The Victorian Homestead-Centre for Decorative Arts on Mt Victorian Estate will open during the year to host major and decorative art exhibits. ($0.28 million net cost).</t>
    </r>
  </si>
  <si>
    <t>This service conducts capital works planning for Council’s main civil infrastructure assets in an integrated and prioritised manner in order to optimise their strategic value and service potential.  These include roads, laneways, car parks, foot/bike paths, drains and bridges.</t>
  </si>
  <si>
    <t>Community and economic development</t>
  </si>
  <si>
    <t>Items that will not be reclassified to surplus or deficit in future periods</t>
  </si>
  <si>
    <t>Working Capital</t>
  </si>
  <si>
    <t>Efficiency</t>
  </si>
  <si>
    <t>The following table highlights Council’s current and projected performance across a range of key financial performance indicators. These indicators provide a useful analysis of Council’s financial position and performance and should be interpreted in the context of the organisation’s objectives.</t>
  </si>
  <si>
    <t>5.1.1 Grants operating - ($0.91 million decrease)</t>
  </si>
  <si>
    <t>TOTAL CARRIED FORWARD WORKS 2016/2017</t>
  </si>
  <si>
    <t>The level of required rates and charges has been considered in this context, with reference to Council's other sources of income and the planned expenditure on services and works to be undertaken for the Victorian community.</t>
  </si>
  <si>
    <t>Number</t>
  </si>
  <si>
    <t>7.8  The rate or unit amount to be levied for each type of service rate or charge under Section 162 of the Act compared with the previous financial year</t>
  </si>
  <si>
    <t>The following reports provide detailed analysis to support and explain the budget reports in the previous
section.</t>
  </si>
  <si>
    <t>10      Analysis of operating budget</t>
  </si>
  <si>
    <t>12      Analysis of capital budget</t>
  </si>
  <si>
    <t>Council has prepared a Budget for the 2017/2018 financial year which seeks to balance the demand for services and infrastructure with the community’s capacity to pay. Key budget information is provided below about the rate increase, operating result, services, cash and investments, capital works, financial position, financial sustainability and strategic objectives of the Council.</t>
  </si>
  <si>
    <t>8.2 Operating Result</t>
  </si>
  <si>
    <t>The net cost of services delivered to the community for the 2017/18 year is expected to be $42.60 million which is an increase of $3.20 million over 2016/17. A key influencing factor in the development of the 2017/18 budget has been the recently released results of the community satisfaction survey conducted by Council. The survey results show that while there is a relatively high level of satisfaction with most services provided by Council, there are some areas of concern where there is a clear message that ratepayers want improved service levels. For the 2017/18 year, service levels have been maintained and a number of initiatives proposed. (The forecast net cost for the 2016/17 year is $39.40 million). Refer Section 2 for a list of services.</t>
  </si>
  <si>
    <t>The Annual Budget includes a range of services and initiatives to be funded that will contribute to achieving the strategic objectives specified in the Council Plan. The above graph shows the level of funding allocated in the budget to achieve the strategic objectives as set out in the Council Plan for the 2017/2018 year.</t>
  </si>
  <si>
    <t>This section sets out the key budget influences arising from the internal and external environment within
which the Council operates.</t>
  </si>
  <si>
    <t>The population has been growing since 2005 and reached 154,245 in 2015. (Source: Australian Bureau of Statistics, Estimated Resident Population).</t>
  </si>
  <si>
    <r>
      <t xml:space="preserve">· </t>
    </r>
    <r>
      <rPr>
        <sz val="10"/>
        <rFont val="Arial"/>
        <family val="2"/>
      </rPr>
      <t>Cultural and linguistic diversity means that Council needs to use a variety of media in languages other than English for mass communication with citizens and use interpreting services for interpersonal communication with citizens. Council also draws on the abilities of its bilingual staff.</t>
    </r>
  </si>
  <si>
    <r>
      <t xml:space="preserve">· </t>
    </r>
    <r>
      <rPr>
        <sz val="10"/>
        <rFont val="Arial"/>
        <family val="2"/>
      </rPr>
      <t>The small area of Victorian City reduces transport costs when compared to rural Shires.  Services can be centralised as most citizens are able to reach Council facilities without extensive travel.</t>
    </r>
  </si>
  <si>
    <r>
      <t xml:space="preserve">· </t>
    </r>
    <r>
      <rPr>
        <sz val="10"/>
        <rFont val="Arial"/>
        <family val="2"/>
      </rPr>
      <t>Over 25% of ratepayers are entitled to the pensioner rebate.  As pensioners are often asset rich but income poor, the adoption of significant rate increases has a real impact on the disposable income of a significant proportion of our community. Council has hardship provisions in place but these can impact on cash balances when large volumes of ratepayers are involved. In addition, Council has long waiting lists for services to older people such as ‘Home Help’ and ‘Delivered Meals’ but not the income to service this demand.</t>
    </r>
  </si>
  <si>
    <r>
      <t xml:space="preserve">· </t>
    </r>
    <r>
      <rPr>
        <sz val="10"/>
        <rFont val="Arial"/>
        <family val="2"/>
      </rPr>
      <t xml:space="preserve">The Fire Services Property Levy will continue to be collected by Council on behalf of the State Government with the introduction of the </t>
    </r>
    <r>
      <rPr>
        <i/>
        <sz val="10"/>
        <rFont val="Arial"/>
        <family val="2"/>
      </rPr>
      <t>Fire Services Property Levy Act 2012</t>
    </r>
    <r>
      <rPr>
        <sz val="10"/>
        <rFont val="Arial"/>
        <family val="2"/>
      </rPr>
      <t>.</t>
    </r>
  </si>
  <si>
    <r>
      <t>·</t>
    </r>
    <r>
      <rPr>
        <sz val="10"/>
        <rFont val="Times New Roman"/>
        <family val="1"/>
      </rPr>
      <t xml:space="preserve">           </t>
    </r>
    <r>
      <rPr>
        <sz val="10"/>
        <rFont val="Arial"/>
        <family val="2"/>
      </rPr>
      <t>Operating revenues and expenses arising from completed 2016/17 capital projects to be included.</t>
    </r>
  </si>
  <si>
    <r>
      <t xml:space="preserve">· </t>
    </r>
    <r>
      <rPr>
        <sz val="10"/>
        <rFont val="Arial"/>
        <family val="2"/>
      </rPr>
      <t>The City is substantially developed and while it is experiencing a small increase in property numbers, these mainly arise from higher density developments.  The budget implications arise in Council having to cope with replacement of infrastructure such as drains which cannot cope with the higher density.  While Council has implemented an open space contribution scheme and an infrastructure development contribution plan, the income from these schemes do not fully fund the significant infrastructure costs and rates funding is required to be allocated to these works.</t>
    </r>
  </si>
  <si>
    <t>This section analyses the operating budget including expected income and expenses of the Council for the
2017/2018 year.</t>
  </si>
  <si>
    <t>Grants – capital non-recurrent</t>
  </si>
  <si>
    <t>10.1.1</t>
  </si>
  <si>
    <t>Net gain on disposal of property, infrastructure, plant &amp; equipment</t>
  </si>
  <si>
    <t>10.2 Income</t>
  </si>
  <si>
    <t>It is proposed that income raised by all rates and charges be increased by 3.9% or $1.77 million to $43.46 million. This includes an increase in general rates of 2.6%, the Municipal Charge of 2.0%; kerbside waste collection and recycling of 6.6%; and forecasts supplementary rates to increase by $0.52 million over 2016/2017 to $0.98 million. 
Section 7. Rates and Charges -  includes a more detailed analysis of the rates and charges to be levied for 2017/2018 and the rates and charges specifically required by the Regulations.</t>
  </si>
  <si>
    <r>
      <rPr>
        <sz val="10"/>
        <rFont val="Symbol"/>
        <family val="1"/>
        <charset val="2"/>
      </rPr>
      <t>·</t>
    </r>
    <r>
      <rPr>
        <sz val="10"/>
        <rFont val="Arial"/>
        <family val="2"/>
      </rPr>
      <t>     Renegotiation of Council’s Enterprise Bargaining Agreement (EBA) which is estimated to cost $1.30 
       million in 2017/2018</t>
    </r>
  </si>
  <si>
    <r>
      <t>·</t>
    </r>
    <r>
      <rPr>
        <sz val="10"/>
        <rFont val="Times New Roman"/>
        <family val="1"/>
      </rPr>
      <t>      </t>
    </r>
    <r>
      <rPr>
        <sz val="10"/>
        <rFont val="Arial"/>
        <family val="2"/>
      </rPr>
      <t>Anticipated non EBA wages growth of 3.5% or $0.48 million due mainly to small increases in staff 
       numbers in Family Day Care and General Home Care in response to increased community demand 
       for these services. As indicated above, additional funding will be available to cover the extension of 
       these services.</t>
    </r>
  </si>
  <si>
    <r>
      <t>External contracts are forecast to decrease by 9.0% or $1.40 million compared to 2016/2017. The main areas contributing to this decrease are the cessation of the Street Cleansing contract ($1.60 million) and Environmental Health ($0.31 million) as a result of a change in the</t>
    </r>
    <r>
      <rPr>
        <i/>
        <sz val="10"/>
        <rFont val="Arial"/>
        <family val="2"/>
      </rPr>
      <t xml:space="preserve"> Food Act</t>
    </r>
    <r>
      <rPr>
        <sz val="10"/>
        <rFont val="Arial"/>
        <family val="2"/>
      </rPr>
      <t xml:space="preserve"> 1984 requirements. These have been offset by expected increases in contracts relating to Primary Care Partnerships ($0.24 million) due to an expansion of the service, Facilities Maintenance ($0.13 million) due to Council requests to increase maintenance levels and Family Day Care ($0.11 million) due to additional contract staff required to meet anticipated increases in demand for the service.</t>
    </r>
  </si>
  <si>
    <r>
      <t>·</t>
    </r>
    <r>
      <rPr>
        <sz val="10"/>
        <rFont val="Times New Roman"/>
        <family val="1"/>
      </rPr>
      <t xml:space="preserve">        </t>
    </r>
    <r>
      <rPr>
        <b/>
        <sz val="10"/>
        <rFont val="Arial"/>
        <family val="2"/>
      </rPr>
      <t>Operating activities</t>
    </r>
    <r>
      <rPr>
        <sz val="10"/>
        <rFont val="Arial"/>
        <family val="2"/>
      </rPr>
      <t xml:space="preserve"> - Refers to the cash generated or used in the normal service delivery functions 
        of Council. Cash remaining after paying for the provision of services to the community may be 
        available for investment in capital works, or repayment of debt</t>
    </r>
  </si>
  <si>
    <r>
      <t>·</t>
    </r>
    <r>
      <rPr>
        <sz val="10"/>
        <rFont val="Times New Roman"/>
        <family val="1"/>
      </rPr>
      <t xml:space="preserve">        </t>
    </r>
    <r>
      <rPr>
        <b/>
        <sz val="10"/>
        <rFont val="Arial"/>
        <family val="2"/>
      </rPr>
      <t>Investing activities</t>
    </r>
    <r>
      <rPr>
        <sz val="10"/>
        <rFont val="Arial"/>
        <family val="2"/>
      </rPr>
      <t xml:space="preserve"> - Refers to cash generated or used in the enhancement or creation of 
       infrastructure and other assets. These activities also include the acquisition and sale of other assets 
       such as vehicles, property and equipment</t>
    </r>
  </si>
  <si>
    <r>
      <t>·</t>
    </r>
    <r>
      <rPr>
        <sz val="10"/>
        <rFont val="Times New Roman"/>
        <family val="1"/>
      </rPr>
      <t xml:space="preserve">        </t>
    </r>
    <r>
      <rPr>
        <b/>
        <sz val="10"/>
        <rFont val="Arial"/>
        <family val="2"/>
      </rPr>
      <t>Financing activities</t>
    </r>
    <r>
      <rPr>
        <sz val="10"/>
        <rFont val="Arial"/>
        <family val="2"/>
      </rPr>
      <t xml:space="preserve"> - Refers to cash generated or used in the financing of Council functions and 
       include borrowings from financial institutions and advancing of repayable loans to other organisations. 
       These activities also include repayment of the principal component of loan repayments for the year.</t>
    </r>
  </si>
  <si>
    <t>The increase in cash inflows from operating activities is due mainly to a $3.37 million increase in capital grants to fund the capital works program and a $1.98 million increase in rates and charges.</t>
  </si>
  <si>
    <t>11.1.2 Investing activities ($5.92 million decrease)</t>
  </si>
  <si>
    <t xml:space="preserve">The large increase in payments for investing activities represents the planned large increase in capital works expenditure disclosed in section 10 of this budget report. Proceeds from sale of assets are forecast to increase by $2.1 million due to settlement of land sales achieved during 2017/2018. </t>
  </si>
  <si>
    <t>- Cash held to fund carry forward capital works</t>
  </si>
  <si>
    <t>This section analyses the expected cash flows from the operating, investing and financing activities of Council for the 2017/2018 year. Budgeting cash flows for Council is a key factor in setting the level of rates and providing a guide to the level of capital expenditure that can be sustained with or without using existing cash reserves.</t>
  </si>
  <si>
    <t>This section analyses the planned capital expenditure budget for the 2017/18 year and the sources of funding for the capital budget.  Further detail on the capital works program can be found in Section 6.</t>
  </si>
  <si>
    <t>Council generates cash from its operating activities, which is used as a funding source for the capital works program. It is forecast that $8.87 million will be generated from operations to fund the 2017/2018 capital works program.</t>
  </si>
  <si>
    <t>12.2.5 Reserve cash - reserve cash and investments ($6.60 million)</t>
  </si>
  <si>
    <t xml:space="preserve">Council has significant cash reserves, which it is currently using to fund its annual capital works program. The reserves include monies set aside for specific purposes such as Golf Course Renewal and non-specific reserves such as the Building Replacement Reserve. For 2017/2018 $6.60 million will be used to fund part of the new capital works program including the landfill ($1.90 million), Victoria Civic Centre ($3.60 million), Plant Replacement ($1.00 million), Victoria Arcade ($0.87 million) and the Victoria Civic Precinct ($0.10 million). </t>
  </si>
  <si>
    <t xml:space="preserve">This section analyses the movements in assets, liabilities and equity between 2016/2017 and 2017/2018. It also considers a number of key financial performance indicators. </t>
  </si>
  <si>
    <t>Cash and cash equivalents include cash and investments such as cash held in the bank and in petty cash and the value of investments in deposits or other highly liquid investments with short term maturities of three months or less. These balances are projected to decrease by $11.27 million during the year mainly to fund the capital works program during the year.</t>
  </si>
  <si>
    <t>Trade and other receivables are monies owed to Council by ratepayers and others. Short term debtors are not expected to change significantly in the budget. Long term debtors (non current) relating to loans to community organisations will increase by $0.09 million in accordance with agreed repayment terms.</t>
  </si>
  <si>
    <r>
      <t xml:space="preserve">· </t>
    </r>
    <r>
      <rPr>
        <sz val="10"/>
        <rFont val="Arial"/>
        <family val="2"/>
      </rPr>
      <t>Asset revaluation reserve which represents the difference between the previously recorded value of assets and their current valuations.</t>
    </r>
  </si>
  <si>
    <r>
      <t xml:space="preserve">· </t>
    </r>
    <r>
      <rPr>
        <sz val="10"/>
        <rFont val="Arial"/>
        <family val="2"/>
      </rPr>
      <t>Other reserves that are funds that Council wishes to separately identify as being set aside to meet a specific purpose in the future and to which there is no existing liability. These amounts are transferred from the surplus of the Council to be separately disclosed.</t>
    </r>
  </si>
  <si>
    <r>
      <t xml:space="preserve">· </t>
    </r>
    <r>
      <rPr>
        <sz val="10"/>
        <rFont val="Arial"/>
        <family val="2"/>
      </rPr>
      <t>Accumulated surplus which is the value of all net assets less Reserves that have accumulated over time.  $1.05 million of the $9.39 million increase in accumulated surplus results directly from the surplus for the year. An amount of $8.35 million (net) is budgeted to be transferred from other reserves to accumulated surplus. This reflects the usage of investment cash reserves to partly fund the capital works program. This is a transfer between equity balances only and does not impact on the total balance of equity.</t>
    </r>
  </si>
  <si>
    <t>This section includes an extract of the adopted Strategic Resource Plan to provide information on the long term financial projections of the Council.</t>
  </si>
  <si>
    <r>
      <t>·</t>
    </r>
    <r>
      <rPr>
        <sz val="10"/>
        <rFont val="Times New Roman"/>
        <family val="1"/>
      </rPr>
      <t xml:space="preserve">           </t>
    </r>
    <r>
      <rPr>
        <sz val="10"/>
        <rFont val="Arial"/>
        <family val="2"/>
      </rPr>
      <t>Maintain existing service levels</t>
    </r>
  </si>
  <si>
    <t>This section contains information on Council’s past and foreshadowed rating levels along with Council's rating structure and the impact of changes in property valuations. This section should be read in conjunction with Council’s Rating Strategy which is available on Council’s website.</t>
  </si>
  <si>
    <t>The following table sets out future proposed increases in revenue from rates and charges and the total rates to be raised, based on the forecast financial position of Council as at 30 June 2017, and proposed rate caps set by the State Government.</t>
  </si>
  <si>
    <r>
      <t>·</t>
    </r>
    <r>
      <rPr>
        <sz val="10"/>
        <rFont val="Times New Roman"/>
        <family val="1"/>
      </rPr>
      <t>        </t>
    </r>
    <r>
      <rPr>
        <b/>
        <sz val="10"/>
        <rFont val="Arial"/>
        <family val="2"/>
      </rPr>
      <t>Rating levels (Section 15)</t>
    </r>
    <r>
      <rPr>
        <sz val="10"/>
        <rFont val="Arial"/>
        <family val="2"/>
      </rPr>
      <t xml:space="preserve"> – Modest rate increases are forecast over the four years at an average of 3.0%.</t>
    </r>
  </si>
  <si>
    <t>15.2 Future rates and charges</t>
  </si>
  <si>
    <t>15.3 Rating structure</t>
  </si>
  <si>
    <t>The table below shows information on borrowings specifically required by the Regulations.
a. The average rate will rise by 2.0% in line with the order by the Minister for Local Government on 19 December 2016 under the Fair Go Rates System.
b. Key drivers
        i. To fund ongoing service delivery – business as usual (balanced with greater service demands from 
            residents)
        ii. To fund renewal of infrastructure and community assets
        iii. To cope with growth in the population of Victorian residents (2.2% in the last year)
       iv. To cope with cost shifting from the State Government
        v. To cope with a reduction in funding from the Commonwealth Government via the Victoria Grants 
            Commission caused by their freezing of indexation of the grant 
c. This is not a revaluation year. Valuations will be as per the General Revaluation dated 1 January 2018 (as amended by supplementary valuations).
d. The waste service charge incorporating kerbside collection and recycling will increase by 4.2% per property. 
e. Note that for every $100 in taxes paid by Victorian residents, rates make up approximately $3.50. The other $96.50 goes to the State and Federal Governments.
f. Refer Section 7 for further Rates and Charges details.</t>
  </si>
  <si>
    <t>This section sets out summaries of the strategies that have been developed and incorporated into the Strategic Resource Plan including borrowings, infrastructure and service delivery.</t>
  </si>
  <si>
    <t>16.3 Service delivery</t>
  </si>
  <si>
    <r>
      <t xml:space="preserve">· </t>
    </r>
    <r>
      <rPr>
        <sz val="10"/>
        <rFont val="Arial"/>
        <family val="2"/>
      </rPr>
      <t xml:space="preserve">The enactment of the </t>
    </r>
    <r>
      <rPr>
        <i/>
        <sz val="10"/>
        <rFont val="Arial"/>
        <family val="2"/>
      </rPr>
      <t>Road Management Act 2004</t>
    </r>
    <r>
      <rPr>
        <sz val="10"/>
        <rFont val="Arial"/>
        <family val="2"/>
      </rPr>
      <t xml:space="preserve"> removing the defence of non-feasance on major assets such as roads.</t>
    </r>
  </si>
  <si>
    <t>This section lists the budget processes to be undertaken in order to adopt the Budget in accordance with the Local Government Act 1989 (the Act) and Local Government (Planning and Reporting) Regulations 2014 (the Regulations).</t>
  </si>
  <si>
    <t xml:space="preserve">A ‘proposed’ budget is prepared in accordance with the Act and submitted to Council in May for approval ’in principle’. Council is then required to give ’public notice’ that it intends to ’adopt’ the budget. It must give 28 days notice of its intention to adopt the proposed budget and make the budget available for inspection at its offices and on its web site. A person has a right to make a submission on any proposal contained in the budget and any submission must be considered before adoption of the budget by Council. </t>
  </si>
  <si>
    <t>With the introduction of the State Governments Rate Capping legislation in 2015 Councils are now unable to determine the level of rate increase and instead must use a maximum rate increase determined by the Minister for Local Government which is announced in December for application in the following financial year.</t>
  </si>
  <si>
    <t>7.   Proposed budget submitted to Council for approval to advertise</t>
  </si>
  <si>
    <r>
      <rPr>
        <b/>
        <sz val="10"/>
        <rFont val="Arial"/>
        <family val="2"/>
      </rPr>
      <t>4. Budget Influences</t>
    </r>
    <r>
      <rPr>
        <sz val="10"/>
        <rFont val="Arial"/>
        <family val="2"/>
      </rPr>
      <t xml:space="preserve">
</t>
    </r>
    <r>
      <rPr>
        <b/>
        <sz val="10"/>
        <rFont val="Arial"/>
        <family val="2"/>
      </rPr>
      <t>External Influences</t>
    </r>
    <r>
      <rPr>
        <sz val="10"/>
        <rFont val="Arial"/>
        <family val="2"/>
      </rPr>
      <t xml:space="preserve">
The preparation of the budget is influenced by the following external factors:
• The Victorian State Government has introduced a cap on rate increases from 2016/2017. The cap for 2017/2018 has been set at 2.0% (2016/2017 - 2.5%).
• CPI for Victoria is forecast to be 2.0% for the 2017/2018 year (Victorian Department of Treasury &amp; Finance, 2016-2017 Budget Update).
• The Victorian Wage Price Index is projected to be 2.5% in 2017/2018 (Victorian Department of Treasury &amp; Finance, 2016-2017 Budget Update).
• Council must renegotiate a new Collective Agreement during the 2017/2018 year for commencement on 1 July 2018.
• Reduction of $0.40 million in Victoria Grants Commission funding compared to the prior year.
• Receipt of significant capital works funding of $6.28 million for the construction of a Velodrome and State Bowls Centre at Victoria Park and the completion of Roads to Recovery projects.
• Anticipated increases of 2.0% (or $1.24 per tonne) in the levy payable to the State Government upon disposal of waste into landfill, resulting in additional waste tipping costs of $0.20 million.  The levy has increased from $9 per tonne in 2008/2009 to a forecast $63.27 per tonne in 2017/2018 (703% increase in 9 years) and has added $1.84 million to Council's costs. </t>
    </r>
  </si>
  <si>
    <r>
      <t xml:space="preserve">• On going cost shifting. This occurs where Local Government provides a service to the community on behalf of the State and Federal Government. Over time the funds received by local governments do not increase in line with real cost increases.  
• Councils across Australia raise approximately 3.5% of the total taxation collected by all levels of Government in Australia. In addition Councils are entrusted with the maintenance of more than 30% of the all Australian public assets including roads, bridges, parks, footpaths and public buildings.  This means that a large proportion of Council’s income must be allocated to the maintenance and replacement of these valuable public assets in order to ensure the quality of public infrastructure is maintained at satisfactory levels.
• The Fire Services Property Levy will continue to be collected by Council on behalf of the State Government with the introduction of the </t>
    </r>
    <r>
      <rPr>
        <i/>
        <sz val="10"/>
        <rFont val="Arial"/>
        <family val="2"/>
      </rPr>
      <t>Fire Services Property Levy Act</t>
    </r>
    <r>
      <rPr>
        <sz val="10"/>
        <rFont val="Arial"/>
        <family val="2"/>
      </rPr>
      <t xml:space="preserve"> 2012.
• A write down of flood/fire affected assets which is estimated at $1.00 million in 2017/2018 and estimated repairs of $1.20 million over two years.  Compensation of $0.40 million has been confirmed by Council’s insurers, with the balance to be funded by the Natural Disaster Assistance Fund (NDAF).  An advance payment of $1.00 million from the NDAF was received in 2016/2017. Council is also eligible to claim the first $0.03 million from the Victoria Grants Commission.</t>
    </r>
  </si>
  <si>
    <r>
      <rPr>
        <b/>
        <sz val="10"/>
        <rFont val="Arial"/>
        <family val="2"/>
      </rPr>
      <t>5. Advocacy and support (State and Federal Government)</t>
    </r>
    <r>
      <rPr>
        <sz val="10"/>
        <rFont val="Arial"/>
        <family val="2"/>
      </rPr>
      <t xml:space="preserve">
Council will continue to advocate for:
a. Bicycle safety improvement on Smith Street and the Railway bike path.
b. Funding for the final section of the Railway bike path.
c. Public Transport Improvements including:
        i. Reinstatement of the Blue Orbital bus route
        ii. Reinstatement of the Hope Street bus
        iii. All bus services to be a minimum MOTC standard
        iv. Restore the frequency of the Route 542 bus 
        v. Lobby for more frequent services on all routes
d. State government investment to address the gaps in family violence prevention identified by the Victorian Community Safety Leadership Group.
e. State government investment to address the identified priority community infrastructure gaps in Victorian City.
f. Advocate acquisition of land owned by other levels of government that abuts Council-owned land or in areas that have been identified as deficient in open space as noted in the Victorian City Council Open Space Strategy, or where an expansion of open space increases the benefit to the community or environment (i.e. creek corridors).</t>
    </r>
  </si>
  <si>
    <t>It is proposed that the average rates increase by 2.0% for the 2017/18 year, raising total rates of $43.46 million, including $0.43 million generated from supplementary rates. This will result in an increase in total revenue from rates and service charges of 4.3%. Of the 4.3% increase, 3.0% will go toward maintaining service levels and meeting the cost of a number of external influences affecting the operating budget including a $0.40 million reduction in the Victoria Grants Commission allocation. The remaining 1.3% increase will go toward capital works to address the asset renewal needs of the City. This rate increase is in line with the rate cap set by the Minister for Local Government. (The rate increase for the 2016/2017 year was 2.50%). Refer Sections 7 and 10 for more information.</t>
  </si>
  <si>
    <r>
      <t xml:space="preserve">· </t>
    </r>
    <r>
      <rPr>
        <sz val="10"/>
        <rFont val="Arial"/>
        <family val="2"/>
      </rPr>
      <t>Anticipated increase of 2.0% (or $1.24 per tonne) in the levy payable to the State Government upon disposal of waste into landfill, resulting in additional waste tipping costs of $0.20 million.  The levy has increased from $9 per tonne in 2008/2009 to a forecast $63.27 per tonne in 2017/2018 (703% increase in 9 years) and has added $1.84 million to Council's costs.</t>
    </r>
  </si>
  <si>
    <t>Total Recreational, Leisure and Community Facilities</t>
  </si>
  <si>
    <t>Total Recreational Leisure and Community Facilities</t>
  </si>
  <si>
    <t>Victoria City Council is fully compliant with the State Governments Fair Go Rates System.</t>
  </si>
  <si>
    <t>Maximum General Rates and Municipal Charges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</si>
</sst>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Red]\-&quot;$&quot;#,##0"/>
    <numFmt numFmtId="44" formatCode="_-&quot;$&quot;* #,##0.00_-;\-&quot;$&quot;* #,##0.00_-;_-&quot;$&quot;* &quot;-&quot;??_-;_-@_-"/>
    <numFmt numFmtId="43" formatCode="_-* #,##0.00_-;\-* #,##0.00_-;_-* &quot;-&quot;??_-;_-@_-"/>
    <numFmt numFmtId="164" formatCode="0.0"/>
    <numFmt numFmtId="165" formatCode="_-* #,##0_-;\-* #,##0_-;_-* &quot;-&quot;??_-;_-@_-"/>
    <numFmt numFmtId="166" formatCode="&quot;$&quot;#,##0"/>
    <numFmt numFmtId="167" formatCode="0.0%"/>
    <numFmt numFmtId="168" formatCode="#,##0;\(#,##0\)"/>
    <numFmt numFmtId="169" formatCode="#,##0.000000"/>
    <numFmt numFmtId="170" formatCode="#,##0;\(#,##0\);\-"/>
    <numFmt numFmtId="171" formatCode="#,##0.0;\(#,##0.0\);\-"/>
    <numFmt numFmtId="172" formatCode="_-&quot;$&quot;* #,##0_-;\-&quot;$&quot;* #,##0_-;_-&quot;$&quot;* &quot;-&quot;??_-;_-@_-"/>
    <numFmt numFmtId="173" formatCode="_-* #,##0.00000000_-;\-* #,##0.00000000_-;_-* &quot;-&quot;??_-;_-@_-"/>
    <numFmt numFmtId="174" formatCode="_-&quot;$&quot;* #,##0.0000000_-;\-&quot;$&quot;* #,##0.0000000_-;_-&quot;$&quot;* &quot;-&quot;??_-;_-@_-"/>
    <numFmt numFmtId="175" formatCode="0.000000000"/>
  </numFmts>
  <fonts count="71"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2"/>
      <color indexed="56"/>
      <name val="Arial"/>
      <family val="2"/>
    </font>
    <font>
      <sz val="10"/>
      <name val="Arial"/>
      <family val="2"/>
    </font>
    <font>
      <sz val="10"/>
      <name val="Symbol"/>
      <family val="1"/>
      <charset val="2"/>
    </font>
    <font>
      <sz val="7"/>
      <name val="Times New Roman"/>
      <family val="1"/>
    </font>
    <font>
      <b/>
      <sz val="10"/>
      <name val="Arial"/>
      <family val="2"/>
    </font>
    <font>
      <sz val="8"/>
      <name val="Arial"/>
      <family val="2"/>
    </font>
    <font>
      <sz val="10"/>
      <name val="Arial"/>
      <family val="2"/>
    </font>
    <font>
      <sz val="10"/>
      <name val="Arial Narrow"/>
      <family val="2"/>
    </font>
    <font>
      <b/>
      <sz val="10"/>
      <color indexed="9"/>
      <name val="Arial"/>
      <family val="2"/>
    </font>
    <font>
      <sz val="12"/>
      <name val="Arial"/>
      <family val="2"/>
    </font>
    <font>
      <i/>
      <sz val="10"/>
      <name val="Arial"/>
      <family val="2"/>
    </font>
    <font>
      <sz val="10"/>
      <color indexed="9"/>
      <name val="Arial"/>
      <family val="2"/>
    </font>
    <font>
      <u/>
      <sz val="10"/>
      <color indexed="9"/>
      <name val="Arial"/>
      <family val="2"/>
    </font>
    <font>
      <u/>
      <sz val="10"/>
      <name val="Arial"/>
      <family val="2"/>
    </font>
    <font>
      <b/>
      <i/>
      <sz val="10"/>
      <name val="Arial"/>
      <family val="2"/>
    </font>
    <font>
      <sz val="10"/>
      <color indexed="8"/>
      <name val="Arial"/>
      <family val="2"/>
    </font>
    <font>
      <sz val="9"/>
      <name val="Arial"/>
      <family val="2"/>
    </font>
    <font>
      <sz val="10"/>
      <name val="Times New Roman"/>
      <family val="1"/>
    </font>
    <font>
      <b/>
      <sz val="18"/>
      <name val="Arial"/>
      <family val="2"/>
    </font>
    <font>
      <b/>
      <sz val="18"/>
      <color indexed="10"/>
      <name val="Arial"/>
      <family val="2"/>
    </font>
    <font>
      <sz val="14"/>
      <name val="Arial"/>
      <family val="2"/>
    </font>
    <font>
      <b/>
      <sz val="12"/>
      <color indexed="10"/>
      <name val="Arial"/>
      <family val="2"/>
    </font>
    <font>
      <b/>
      <sz val="13"/>
      <color indexed="10"/>
      <name val="Arial"/>
      <family val="2"/>
    </font>
    <font>
      <b/>
      <sz val="10"/>
      <color indexed="10"/>
      <name val="Arial"/>
      <family val="2"/>
    </font>
    <font>
      <b/>
      <i/>
      <sz val="10"/>
      <color indexed="10"/>
      <name val="Arial"/>
      <family val="2"/>
    </font>
    <font>
      <b/>
      <sz val="12"/>
      <name val="Arial"/>
      <family val="2"/>
    </font>
    <font>
      <b/>
      <sz val="9"/>
      <name val="Arial"/>
      <family val="2"/>
    </font>
    <font>
      <i/>
      <sz val="11"/>
      <name val="Arial"/>
      <family val="2"/>
    </font>
    <font>
      <b/>
      <u/>
      <sz val="10"/>
      <name val="Arial"/>
      <family val="2"/>
    </font>
    <font>
      <b/>
      <sz val="10"/>
      <color rgb="FFFFFFFF"/>
      <name val="Arial"/>
      <family val="2"/>
    </font>
    <font>
      <sz val="10"/>
      <color rgb="FFFFFFFF"/>
      <name val="Arial"/>
      <family val="2"/>
    </font>
    <font>
      <b/>
      <sz val="10"/>
      <color rgb="FF000000"/>
      <name val="Arial"/>
      <family val="2"/>
    </font>
    <font>
      <sz val="10"/>
      <color rgb="FF000000"/>
      <name val="Arial"/>
      <family val="2"/>
    </font>
    <font>
      <b/>
      <sz val="11"/>
      <color rgb="FF000000"/>
      <name val="Arial"/>
      <family val="2"/>
    </font>
    <font>
      <sz val="11"/>
      <color rgb="FF000000"/>
      <name val="Arial"/>
      <family val="2"/>
    </font>
    <font>
      <b/>
      <sz val="12"/>
      <color rgb="FF000000"/>
      <name val="Arial"/>
      <family val="2"/>
    </font>
    <font>
      <sz val="12"/>
      <color rgb="FF000000"/>
      <name val="Arial"/>
      <family val="2"/>
    </font>
    <font>
      <u/>
      <sz val="11"/>
      <name val="Arial"/>
      <family val="2"/>
    </font>
    <font>
      <b/>
      <sz val="10"/>
      <color theme="0"/>
      <name val="Arial"/>
      <family val="2"/>
    </font>
    <font>
      <sz val="11"/>
      <color theme="1"/>
      <name val="Arial"/>
      <family val="2"/>
    </font>
    <font>
      <b/>
      <sz val="14"/>
      <name val="Arial"/>
      <family val="2"/>
    </font>
    <font>
      <sz val="10"/>
      <color theme="8" tint="0.59999389629810485"/>
      <name val="Arial"/>
      <family val="2"/>
    </font>
    <font>
      <b/>
      <sz val="18"/>
      <color theme="0" tint="-0.499984740745262"/>
      <name val="Arial"/>
      <family val="2"/>
    </font>
    <font>
      <b/>
      <sz val="12"/>
      <color theme="0" tint="-0.499984740745262"/>
      <name val="Arial"/>
      <family val="2"/>
    </font>
    <font>
      <sz val="11"/>
      <color theme="0" tint="-0.499984740745262"/>
      <name val="Arial"/>
      <family val="2"/>
    </font>
    <font>
      <b/>
      <sz val="13"/>
      <color theme="0" tint="-0.499984740745262"/>
      <name val="Arial"/>
      <family val="2"/>
    </font>
    <font>
      <b/>
      <sz val="14"/>
      <color theme="0" tint="-0.499984740745262"/>
      <name val="Arial"/>
      <family val="2"/>
    </font>
    <font>
      <b/>
      <sz val="9"/>
      <name val="Arial Narrow"/>
      <family val="2"/>
    </font>
    <font>
      <sz val="9"/>
      <name val="Arial Narrow"/>
      <family val="2"/>
    </font>
    <font>
      <b/>
      <sz val="10"/>
      <color indexed="56"/>
      <name val="Arial"/>
      <family val="2"/>
    </font>
    <font>
      <sz val="10"/>
      <name val="Book Antiqua"/>
      <family val="1"/>
    </font>
    <font>
      <b/>
      <sz val="10"/>
      <name val="Arial Narrow"/>
      <family val="2"/>
    </font>
    <font>
      <sz val="10"/>
      <color theme="0" tint="-0.499984740745262"/>
      <name val="Arial"/>
      <family val="2"/>
    </font>
    <font>
      <sz val="11"/>
      <color rgb="FFFF0000"/>
      <name val="Arial"/>
      <family val="2"/>
    </font>
    <font>
      <b/>
      <u/>
      <sz val="14"/>
      <color rgb="FFFF0000"/>
      <name val="Arial"/>
      <family val="2"/>
    </font>
    <font>
      <sz val="10"/>
      <name val="Arial"/>
    </font>
    <font>
      <sz val="11"/>
      <color rgb="FFFF0000"/>
      <name val="Calibri"/>
      <family val="2"/>
      <scheme val="minor"/>
    </font>
    <font>
      <b/>
      <sz val="11"/>
      <color theme="1"/>
      <name val="Calibri"/>
      <family val="2"/>
      <scheme val="minor"/>
    </font>
    <font>
      <b/>
      <sz val="18"/>
      <color theme="1"/>
      <name val="Calibri"/>
      <family val="2"/>
      <scheme val="minor"/>
    </font>
    <font>
      <sz val="16"/>
      <color theme="1"/>
      <name val="Calibri"/>
      <family val="2"/>
      <scheme val="minor"/>
    </font>
    <font>
      <b/>
      <i/>
      <sz val="11"/>
      <color theme="4"/>
      <name val="Calibri"/>
      <family val="2"/>
      <scheme val="minor"/>
    </font>
    <font>
      <sz val="11"/>
      <name val="Calibri"/>
      <family val="2"/>
      <scheme val="minor"/>
    </font>
    <font>
      <b/>
      <sz val="11"/>
      <name val="Calibri"/>
      <family val="2"/>
      <scheme val="minor"/>
    </font>
    <font>
      <b/>
      <i/>
      <u/>
      <sz val="11"/>
      <color theme="1"/>
      <name val="Calibri"/>
      <family val="2"/>
      <scheme val="minor"/>
    </font>
    <font>
      <b/>
      <sz val="8"/>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7979"/>
        <bgColor indexed="64"/>
      </patternFill>
    </fill>
    <fill>
      <patternFill patternType="solid">
        <fgColor rgb="FFFFFFFF"/>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0" tint="-0.34998626667073579"/>
        <bgColor indexed="64"/>
      </patternFill>
    </fill>
  </fills>
  <borders count="24">
    <border>
      <left/>
      <right/>
      <top/>
      <bottom/>
      <diagonal/>
    </border>
    <border>
      <left/>
      <right/>
      <top/>
      <bottom style="thin">
        <color indexed="56"/>
      </bottom>
      <diagonal/>
    </border>
    <border>
      <left/>
      <right/>
      <top style="thin">
        <color indexed="56"/>
      </top>
      <bottom style="thin">
        <color indexed="56"/>
      </bottom>
      <diagonal/>
    </border>
    <border>
      <left/>
      <right/>
      <top style="thin">
        <color indexed="56"/>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3">
    <xf numFmtId="0" fontId="0"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6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134">
    <xf numFmtId="0" fontId="0" fillId="0" borderId="0" xfId="0"/>
    <xf numFmtId="0" fontId="4" fillId="0" borderId="0" xfId="0" applyFont="1"/>
    <xf numFmtId="0" fontId="4" fillId="2" borderId="0" xfId="0" applyFont="1" applyFill="1"/>
    <xf numFmtId="0" fontId="0" fillId="2" borderId="0" xfId="0" applyFill="1"/>
    <xf numFmtId="0" fontId="4" fillId="2" borderId="0" xfId="0" applyFont="1" applyFill="1" applyAlignment="1">
      <alignment wrapText="1"/>
    </xf>
    <xf numFmtId="0" fontId="5" fillId="2" borderId="0" xfId="0" applyFont="1" applyFill="1" applyAlignment="1">
      <alignment wrapText="1"/>
    </xf>
    <xf numFmtId="0" fontId="4" fillId="2" borderId="0" xfId="0" applyFont="1" applyFill="1" applyAlignment="1">
      <alignment horizontal="center" wrapText="1"/>
    </xf>
    <xf numFmtId="0" fontId="8" fillId="0" borderId="0" xfId="0" applyFont="1" applyAlignment="1">
      <alignment horizontal="justify" wrapText="1"/>
    </xf>
    <xf numFmtId="0" fontId="7" fillId="2" borderId="0" xfId="0" applyFont="1" applyFill="1" applyAlignment="1">
      <alignment horizontal="justify"/>
    </xf>
    <xf numFmtId="0" fontId="10" fillId="2" borderId="0" xfId="0" applyFont="1" applyFill="1" applyAlignment="1">
      <alignment wrapText="1"/>
    </xf>
    <xf numFmtId="0" fontId="8" fillId="0" borderId="0" xfId="0" applyFont="1" applyFill="1" applyAlignment="1"/>
    <xf numFmtId="0" fontId="8" fillId="0" borderId="0" xfId="0" applyFont="1" applyFill="1" applyAlignment="1">
      <alignment wrapText="1"/>
    </xf>
    <xf numFmtId="0" fontId="13" fillId="0" borderId="0" xfId="0" applyFont="1" applyFill="1" applyAlignment="1">
      <alignment vertical="top"/>
    </xf>
    <xf numFmtId="0" fontId="7" fillId="2" borderId="0" xfId="0" applyFont="1" applyFill="1" applyAlignment="1">
      <alignment horizontal="right" vertical="top" wrapText="1"/>
    </xf>
    <xf numFmtId="3" fontId="10" fillId="2" borderId="0" xfId="0" applyNumberFormat="1" applyFont="1" applyFill="1" applyBorder="1" applyAlignment="1">
      <alignment horizontal="right" wrapText="1"/>
    </xf>
    <xf numFmtId="0" fontId="10" fillId="2" borderId="0" xfId="0" applyFont="1" applyFill="1"/>
    <xf numFmtId="0" fontId="10" fillId="2" borderId="1" xfId="0" applyFont="1" applyFill="1" applyBorder="1" applyAlignment="1">
      <alignment horizontal="justify" wrapText="1"/>
    </xf>
    <xf numFmtId="0" fontId="0" fillId="2" borderId="0" xfId="0" applyFill="1" applyBorder="1"/>
    <xf numFmtId="0" fontId="17" fillId="2" borderId="0" xfId="0" applyFont="1" applyFill="1" applyBorder="1" applyAlignment="1">
      <alignment horizontal="right" wrapText="1"/>
    </xf>
    <xf numFmtId="3" fontId="17" fillId="2" borderId="0" xfId="0" applyNumberFormat="1" applyFont="1" applyFill="1" applyBorder="1" applyAlignment="1">
      <alignment horizontal="right" wrapText="1"/>
    </xf>
    <xf numFmtId="0" fontId="10" fillId="2" borderId="0" xfId="0" applyFont="1" applyFill="1" applyBorder="1" applyAlignment="1">
      <alignment horizontal="justify" wrapText="1"/>
    </xf>
    <xf numFmtId="0" fontId="0" fillId="2" borderId="0" xfId="0" applyFill="1" applyBorder="1" applyAlignment="1">
      <alignment wrapText="1"/>
    </xf>
    <xf numFmtId="0" fontId="10" fillId="2" borderId="0" xfId="0" applyFont="1" applyFill="1" applyBorder="1" applyAlignment="1">
      <alignment wrapText="1"/>
    </xf>
    <xf numFmtId="0" fontId="16" fillId="2" borderId="0" xfId="0" applyFont="1" applyFill="1" applyAlignment="1">
      <alignment horizontal="right" wrapText="1"/>
    </xf>
    <xf numFmtId="0" fontId="16" fillId="2" borderId="0" xfId="0" applyFont="1" applyFill="1" applyAlignment="1">
      <alignment wrapText="1"/>
    </xf>
    <xf numFmtId="0" fontId="10" fillId="2" borderId="1" xfId="0" applyFont="1" applyFill="1" applyBorder="1" applyAlignment="1">
      <alignment wrapText="1"/>
    </xf>
    <xf numFmtId="3" fontId="7" fillId="2" borderId="0" xfId="0" applyNumberFormat="1" applyFont="1" applyFill="1" applyAlignment="1">
      <alignment horizontal="right" vertical="top" wrapText="1"/>
    </xf>
    <xf numFmtId="0" fontId="13" fillId="0" borderId="0" xfId="0" applyFont="1" applyAlignment="1">
      <alignment vertical="top"/>
    </xf>
    <xf numFmtId="1" fontId="13" fillId="0" borderId="0" xfId="0" applyNumberFormat="1" applyFont="1" applyAlignment="1">
      <alignment vertical="top"/>
    </xf>
    <xf numFmtId="0" fontId="24" fillId="2" borderId="0" xfId="0" applyFont="1" applyFill="1" applyAlignment="1">
      <alignment horizontal="right"/>
    </xf>
    <xf numFmtId="0" fontId="25" fillId="2" borderId="0" xfId="0" applyFont="1" applyFill="1" applyAlignment="1">
      <alignment horizontal="right"/>
    </xf>
    <xf numFmtId="0" fontId="26" fillId="2" borderId="0" xfId="0" applyFont="1" applyFill="1" applyAlignment="1">
      <alignment horizontal="right"/>
    </xf>
    <xf numFmtId="0" fontId="10" fillId="2" borderId="0" xfId="0" applyFont="1" applyFill="1" applyAlignment="1"/>
    <xf numFmtId="3" fontId="14" fillId="2" borderId="0" xfId="0" applyNumberFormat="1" applyFont="1" applyFill="1" applyBorder="1" applyAlignment="1">
      <alignment horizontal="right" wrapText="1"/>
    </xf>
    <xf numFmtId="0" fontId="10" fillId="2" borderId="4" xfId="0" applyFont="1" applyFill="1" applyBorder="1" applyAlignment="1">
      <alignment wrapText="1"/>
    </xf>
    <xf numFmtId="0" fontId="29" fillId="2" borderId="0" xfId="0" applyFont="1" applyFill="1"/>
    <xf numFmtId="0" fontId="10" fillId="2" borderId="4" xfId="0" applyFont="1" applyFill="1" applyBorder="1"/>
    <xf numFmtId="167" fontId="7" fillId="2" borderId="0" xfId="0" applyNumberFormat="1" applyFont="1" applyFill="1" applyAlignment="1">
      <alignment horizontal="right" vertical="top" wrapText="1"/>
    </xf>
    <xf numFmtId="0" fontId="10" fillId="2" borderId="4" xfId="0" applyFont="1" applyFill="1" applyBorder="1" applyAlignment="1">
      <alignment horizontal="justify"/>
    </xf>
    <xf numFmtId="0" fontId="3" fillId="2" borderId="0" xfId="0" applyFont="1" applyFill="1" applyAlignment="1">
      <alignment horizontal="center" wrapText="1"/>
    </xf>
    <xf numFmtId="0" fontId="3" fillId="3" borderId="0" xfId="0" applyFont="1" applyFill="1" applyAlignment="1">
      <alignment wrapText="1"/>
    </xf>
    <xf numFmtId="0" fontId="3" fillId="2" borderId="1" xfId="0" applyFont="1" applyFill="1" applyBorder="1" applyAlignment="1">
      <alignment horizontal="center" wrapText="1"/>
    </xf>
    <xf numFmtId="0" fontId="3" fillId="0" borderId="0" xfId="0" applyFont="1" applyAlignment="1">
      <alignment vertical="top" wrapText="1"/>
    </xf>
    <xf numFmtId="0" fontId="10" fillId="0" borderId="0" xfId="0" applyFont="1" applyAlignment="1">
      <alignment horizontal="justify" vertical="center" wrapText="1"/>
    </xf>
    <xf numFmtId="0" fontId="3" fillId="0" borderId="0" xfId="0" applyFont="1" applyAlignment="1">
      <alignment horizontal="right" vertical="center" wrapText="1"/>
    </xf>
    <xf numFmtId="0" fontId="3" fillId="0" borderId="0" xfId="0" applyFont="1" applyAlignment="1">
      <alignment horizontal="justify" vertical="center" wrapText="1"/>
    </xf>
    <xf numFmtId="3" fontId="3" fillId="0" borderId="0" xfId="0" applyNumberFormat="1" applyFont="1" applyAlignment="1">
      <alignment horizontal="right" vertical="center" wrapText="1"/>
    </xf>
    <xf numFmtId="0" fontId="0" fillId="0" borderId="0" xfId="0" applyAlignment="1">
      <alignment vertical="top"/>
    </xf>
    <xf numFmtId="0" fontId="33" fillId="2" borderId="0" xfId="0" applyFont="1" applyFill="1" applyAlignment="1">
      <alignment wrapText="1"/>
    </xf>
    <xf numFmtId="0" fontId="7" fillId="2" borderId="0" xfId="0" applyFont="1" applyFill="1" applyAlignment="1">
      <alignment horizontal="justify" vertical="top"/>
    </xf>
    <xf numFmtId="0" fontId="3" fillId="0" borderId="0" xfId="0" applyFont="1" applyAlignment="1">
      <alignment horizontal="justify" vertical="top" wrapText="1"/>
    </xf>
    <xf numFmtId="0" fontId="27" fillId="2" borderId="0" xfId="0" applyFont="1" applyFill="1" applyAlignment="1">
      <alignment vertical="top"/>
    </xf>
    <xf numFmtId="0" fontId="6" fillId="2" borderId="0" xfId="0" applyFont="1" applyFill="1" applyAlignment="1">
      <alignment vertical="top"/>
    </xf>
    <xf numFmtId="0" fontId="4" fillId="2" borderId="0" xfId="0" applyFont="1" applyFill="1" applyAlignment="1">
      <alignment vertical="top"/>
    </xf>
    <xf numFmtId="0" fontId="0" fillId="2" borderId="0" xfId="0" applyFill="1" applyAlignment="1">
      <alignment vertical="top"/>
    </xf>
    <xf numFmtId="0" fontId="3" fillId="3" borderId="0" xfId="0" applyFont="1" applyFill="1" applyAlignment="1">
      <alignment vertical="top" wrapText="1"/>
    </xf>
    <xf numFmtId="0" fontId="0" fillId="2" borderId="0" xfId="0" applyFill="1" applyBorder="1" applyAlignment="1">
      <alignment vertical="top"/>
    </xf>
    <xf numFmtId="0" fontId="10" fillId="2" borderId="0" xfId="0" applyFont="1" applyFill="1" applyAlignment="1">
      <alignment horizontal="center" vertical="top"/>
    </xf>
    <xf numFmtId="0" fontId="7" fillId="2" borderId="0" xfId="0" applyFont="1" applyFill="1" applyAlignment="1">
      <alignment vertical="top" wrapText="1"/>
    </xf>
    <xf numFmtId="0" fontId="10" fillId="2" borderId="4" xfId="0" applyFont="1" applyFill="1" applyBorder="1" applyAlignment="1">
      <alignment horizontal="center" vertical="top"/>
    </xf>
    <xf numFmtId="0" fontId="10" fillId="2" borderId="0" xfId="0" applyFont="1" applyFill="1" applyAlignment="1">
      <alignment horizontal="justify" vertical="top"/>
    </xf>
    <xf numFmtId="6" fontId="7" fillId="2" borderId="0" xfId="0" applyNumberFormat="1" applyFont="1" applyFill="1" applyAlignment="1">
      <alignment horizontal="right" vertical="top" wrapText="1"/>
    </xf>
    <xf numFmtId="0" fontId="10" fillId="2" borderId="0" xfId="0" applyFont="1" applyFill="1" applyAlignment="1">
      <alignment horizontal="center" vertical="top" wrapText="1"/>
    </xf>
    <xf numFmtId="0" fontId="3" fillId="0" borderId="0" xfId="0" applyFont="1" applyAlignment="1">
      <alignment vertical="top"/>
    </xf>
    <xf numFmtId="0" fontId="10" fillId="2" borderId="4" xfId="0" applyFont="1" applyFill="1" applyBorder="1" applyAlignment="1">
      <alignment horizontal="center" vertical="top" wrapText="1"/>
    </xf>
    <xf numFmtId="0" fontId="20" fillId="2" borderId="0" xfId="0" applyFont="1" applyFill="1" applyAlignment="1">
      <alignment vertical="top" wrapText="1"/>
    </xf>
    <xf numFmtId="0" fontId="30" fillId="2" borderId="0" xfId="0" applyFont="1" applyFill="1" applyAlignment="1">
      <alignment horizontal="justify" vertical="top"/>
    </xf>
    <xf numFmtId="0" fontId="7" fillId="0" borderId="0" xfId="0" applyFont="1" applyAlignment="1">
      <alignment horizontal="justify" vertical="top"/>
    </xf>
    <xf numFmtId="0" fontId="0" fillId="2" borderId="0" xfId="0" applyFill="1" applyBorder="1" applyAlignment="1">
      <alignment vertical="top" wrapText="1"/>
    </xf>
    <xf numFmtId="0" fontId="28" fillId="2" borderId="0" xfId="0" applyFont="1" applyFill="1" applyAlignment="1">
      <alignment vertical="top"/>
    </xf>
    <xf numFmtId="0" fontId="3" fillId="2" borderId="0"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0" xfId="0" applyFont="1" applyFill="1" applyAlignment="1">
      <alignment horizontal="center" vertical="top" wrapText="1"/>
    </xf>
    <xf numFmtId="0" fontId="3" fillId="2" borderId="0" xfId="0" applyFont="1" applyFill="1" applyAlignment="1">
      <alignment horizontal="center" vertical="top"/>
    </xf>
    <xf numFmtId="0" fontId="3" fillId="2" borderId="0" xfId="0" applyFont="1" applyFill="1" applyBorder="1" applyAlignment="1">
      <alignment horizontal="center" vertical="top"/>
    </xf>
    <xf numFmtId="0" fontId="3" fillId="2" borderId="4" xfId="0" applyFont="1" applyFill="1" applyBorder="1" applyAlignment="1">
      <alignment horizontal="center" vertical="top"/>
    </xf>
    <xf numFmtId="0" fontId="31" fillId="2" borderId="0" xfId="0" applyFont="1" applyFill="1" applyAlignment="1">
      <alignment vertical="top"/>
    </xf>
    <xf numFmtId="0" fontId="10" fillId="2" borderId="0" xfId="0" applyFont="1" applyFill="1" applyAlignment="1">
      <alignment vertical="top" wrapText="1"/>
    </xf>
    <xf numFmtId="3" fontId="10" fillId="2" borderId="0" xfId="0" applyNumberFormat="1" applyFont="1" applyFill="1" applyBorder="1" applyAlignment="1">
      <alignment horizontal="right" vertical="top" wrapText="1"/>
    </xf>
    <xf numFmtId="3" fontId="0" fillId="0" borderId="0" xfId="0" applyNumberFormat="1" applyAlignment="1">
      <alignment vertical="top"/>
    </xf>
    <xf numFmtId="0" fontId="7" fillId="2" borderId="0" xfId="0" applyFont="1" applyFill="1" applyAlignment="1">
      <alignment vertical="top"/>
    </xf>
    <xf numFmtId="3" fontId="7" fillId="2" borderId="0" xfId="0" applyNumberFormat="1" applyFont="1" applyFill="1" applyBorder="1" applyAlignment="1">
      <alignment horizontal="right" vertical="top" wrapText="1"/>
    </xf>
    <xf numFmtId="0" fontId="10" fillId="0" borderId="0" xfId="0" applyFont="1" applyAlignment="1">
      <alignment wrapText="1"/>
    </xf>
    <xf numFmtId="0" fontId="3" fillId="2" borderId="0" xfId="0" applyFont="1" applyFill="1" applyAlignment="1">
      <alignment vertical="top"/>
    </xf>
    <xf numFmtId="0" fontId="10" fillId="5" borderId="0" xfId="0" applyFont="1" applyFill="1" applyAlignment="1">
      <alignment vertical="center" wrapText="1"/>
    </xf>
    <xf numFmtId="0" fontId="3" fillId="5" borderId="0" xfId="0" applyFont="1" applyFill="1" applyAlignment="1">
      <alignment horizontal="right" vertical="center" wrapText="1"/>
    </xf>
    <xf numFmtId="0" fontId="3" fillId="5" borderId="0" xfId="0" applyFont="1" applyFill="1" applyAlignment="1">
      <alignment vertical="center" wrapText="1"/>
    </xf>
    <xf numFmtId="0" fontId="10" fillId="0" borderId="0" xfId="0" applyFont="1" applyAlignment="1">
      <alignment horizontal="right" vertical="center" wrapText="1"/>
    </xf>
    <xf numFmtId="0" fontId="3" fillId="0" borderId="0" xfId="0" applyFont="1" applyAlignment="1">
      <alignment horizontal="right" vertical="top" wrapText="1"/>
    </xf>
    <xf numFmtId="0" fontId="3" fillId="0" borderId="7" xfId="0" applyFont="1" applyBorder="1" applyAlignment="1">
      <alignment horizontal="justify" vertical="top" wrapText="1"/>
    </xf>
    <xf numFmtId="3" fontId="3" fillId="0" borderId="0" xfId="0" applyNumberFormat="1" applyFont="1" applyAlignment="1">
      <alignment horizontal="right" vertical="top" wrapText="1"/>
    </xf>
    <xf numFmtId="3" fontId="10" fillId="0" borderId="7" xfId="0" applyNumberFormat="1" applyFont="1" applyBorder="1" applyAlignment="1">
      <alignment horizontal="right" vertical="top" wrapText="1"/>
    </xf>
    <xf numFmtId="0" fontId="10" fillId="0" borderId="7" xfId="0" applyFont="1" applyBorder="1" applyAlignment="1">
      <alignment horizontal="justify" vertical="top" wrapText="1"/>
    </xf>
    <xf numFmtId="0" fontId="22" fillId="2" borderId="0" xfId="0" applyFont="1" applyFill="1" applyBorder="1" applyAlignment="1">
      <alignment horizontal="justify" vertical="top" wrapText="1"/>
    </xf>
    <xf numFmtId="3" fontId="22" fillId="2" borderId="0" xfId="0" applyNumberFormat="1" applyFont="1" applyFill="1" applyBorder="1" applyAlignment="1">
      <alignment horizontal="right" vertical="top" wrapText="1"/>
    </xf>
    <xf numFmtId="3" fontId="32" fillId="2" borderId="0" xfId="0" applyNumberFormat="1" applyFont="1" applyFill="1" applyBorder="1" applyAlignment="1">
      <alignment horizontal="right" vertical="top" wrapText="1"/>
    </xf>
    <xf numFmtId="0" fontId="10" fillId="0" borderId="0" xfId="0" applyFont="1" applyBorder="1" applyAlignment="1">
      <alignment horizontal="justify" vertical="center" wrapText="1"/>
    </xf>
    <xf numFmtId="3" fontId="3" fillId="0" borderId="0" xfId="0" applyNumberFormat="1" applyFont="1" applyBorder="1" applyAlignment="1">
      <alignment horizontal="right" vertical="center" wrapText="1"/>
    </xf>
    <xf numFmtId="3" fontId="10" fillId="0" borderId="0" xfId="0" applyNumberFormat="1" applyFont="1" applyBorder="1" applyAlignment="1">
      <alignment horizontal="right" vertical="center" wrapText="1"/>
    </xf>
    <xf numFmtId="10" fontId="10" fillId="0" borderId="0" xfId="0" applyNumberFormat="1" applyFont="1" applyBorder="1" applyAlignment="1">
      <alignment horizontal="right" vertical="center" wrapText="1"/>
    </xf>
    <xf numFmtId="0" fontId="3" fillId="0" borderId="0" xfId="0" applyFont="1" applyAlignment="1">
      <alignment vertical="center"/>
    </xf>
    <xf numFmtId="0" fontId="3" fillId="0" borderId="0" xfId="0" applyFont="1" applyBorder="1" applyAlignment="1">
      <alignment horizontal="justify" vertical="center" wrapText="1"/>
    </xf>
    <xf numFmtId="167" fontId="10" fillId="0" borderId="0" xfId="0" applyNumberFormat="1" applyFont="1" applyAlignment="1">
      <alignment horizontal="right" vertical="center" wrapText="1"/>
    </xf>
    <xf numFmtId="3" fontId="3" fillId="0" borderId="4" xfId="0" applyNumberFormat="1" applyFont="1" applyBorder="1" applyAlignment="1">
      <alignment horizontal="right" vertical="center" wrapText="1"/>
    </xf>
    <xf numFmtId="3" fontId="0" fillId="2" borderId="0" xfId="0" applyNumberFormat="1" applyFill="1" applyAlignment="1">
      <alignment vertical="top"/>
    </xf>
    <xf numFmtId="3" fontId="0" fillId="2" borderId="0" xfId="0" applyNumberFormat="1" applyFill="1" applyBorder="1" applyAlignment="1">
      <alignment vertical="top"/>
    </xf>
    <xf numFmtId="0" fontId="5" fillId="0" borderId="0" xfId="0" applyFont="1" applyAlignment="1">
      <alignment horizontal="justify" vertical="center" wrapText="1"/>
    </xf>
    <xf numFmtId="0" fontId="38" fillId="0" borderId="0" xfId="0" applyFont="1" applyAlignment="1">
      <alignment horizontal="right" vertical="center" wrapText="1"/>
    </xf>
    <xf numFmtId="0" fontId="38" fillId="0" borderId="0" xfId="0" applyFont="1" applyAlignment="1">
      <alignment horizontal="right" vertical="center" wrapText="1"/>
    </xf>
    <xf numFmtId="0" fontId="31"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right" vertical="center" wrapText="1"/>
    </xf>
    <xf numFmtId="0" fontId="3" fillId="5" borderId="0" xfId="0" applyFont="1" applyFill="1" applyBorder="1" applyAlignment="1">
      <alignment horizontal="justify" vertical="center" wrapText="1"/>
    </xf>
    <xf numFmtId="0" fontId="10" fillId="0" borderId="0" xfId="0" applyFont="1" applyBorder="1" applyAlignment="1">
      <alignment wrapText="1"/>
    </xf>
    <xf numFmtId="0" fontId="3" fillId="0" borderId="4" xfId="0" applyFont="1" applyBorder="1" applyAlignment="1">
      <alignment horizontal="right" vertical="center" wrapText="1"/>
    </xf>
    <xf numFmtId="49" fontId="3" fillId="2" borderId="0" xfId="0" applyNumberFormat="1" applyFont="1" applyFill="1" applyAlignment="1">
      <alignment wrapText="1"/>
    </xf>
    <xf numFmtId="0" fontId="10" fillId="0" borderId="4" xfId="0" applyFont="1" applyBorder="1" applyAlignment="1">
      <alignment horizontal="justify" vertical="center" wrapText="1"/>
    </xf>
    <xf numFmtId="0" fontId="3" fillId="0" borderId="0" xfId="0" applyFont="1" applyAlignment="1">
      <alignment horizontal="center" vertical="top" wrapText="1"/>
    </xf>
    <xf numFmtId="0" fontId="3" fillId="4" borderId="0" xfId="0" applyFont="1" applyFill="1" applyAlignment="1">
      <alignment horizontal="right" vertical="top" wrapText="1"/>
    </xf>
    <xf numFmtId="3" fontId="7" fillId="0" borderId="0" xfId="0" applyNumberFormat="1" applyFont="1" applyFill="1" applyAlignment="1">
      <alignment horizontal="right" vertical="top" wrapText="1"/>
    </xf>
    <xf numFmtId="3" fontId="3" fillId="0" borderId="0" xfId="0" applyNumberFormat="1" applyFont="1" applyAlignment="1">
      <alignment horizontal="center" vertical="center" wrapText="1"/>
    </xf>
    <xf numFmtId="3" fontId="3" fillId="0" borderId="4" xfId="0" applyNumberFormat="1" applyFont="1" applyBorder="1" applyAlignment="1">
      <alignment horizontal="center" vertical="center" wrapText="1"/>
    </xf>
    <xf numFmtId="2" fontId="3" fillId="0" borderId="0" xfId="0" applyNumberFormat="1" applyFont="1" applyAlignment="1">
      <alignment horizontal="center" vertical="center" wrapText="1"/>
    </xf>
    <xf numFmtId="2" fontId="3" fillId="0" borderId="4" xfId="0" applyNumberFormat="1" applyFont="1" applyBorder="1" applyAlignment="1">
      <alignment horizontal="center" vertical="center" wrapText="1"/>
    </xf>
    <xf numFmtId="0" fontId="3" fillId="0" borderId="0" xfId="0" applyFont="1" applyBorder="1" applyAlignment="1">
      <alignment horizontal="justify" vertical="top"/>
    </xf>
    <xf numFmtId="0" fontId="3" fillId="0" borderId="0" xfId="0" applyFont="1" applyFill="1" applyAlignment="1">
      <alignment vertical="top"/>
    </xf>
    <xf numFmtId="0" fontId="12" fillId="0" borderId="0" xfId="0" applyFont="1" applyAlignment="1">
      <alignment vertical="top"/>
    </xf>
    <xf numFmtId="0" fontId="10" fillId="0" borderId="0" xfId="0" applyFont="1" applyAlignment="1">
      <alignment horizontal="justify" vertical="top" wrapText="1"/>
    </xf>
    <xf numFmtId="3" fontId="3" fillId="0" borderId="4" xfId="0" applyNumberFormat="1" applyFont="1" applyBorder="1" applyAlignment="1">
      <alignment horizontal="right" vertical="top" wrapText="1"/>
    </xf>
    <xf numFmtId="0" fontId="3" fillId="0" borderId="4" xfId="0" applyFont="1" applyBorder="1" applyAlignment="1">
      <alignment horizontal="right" vertical="top" wrapText="1"/>
    </xf>
    <xf numFmtId="3" fontId="3" fillId="4" borderId="0" xfId="0" applyNumberFormat="1" applyFont="1" applyFill="1" applyAlignment="1">
      <alignment horizontal="right" vertical="top" wrapText="1"/>
    </xf>
    <xf numFmtId="0" fontId="3" fillId="0" borderId="0" xfId="0" applyFont="1" applyBorder="1" applyAlignment="1">
      <alignment horizontal="center" vertical="top" wrapText="1"/>
    </xf>
    <xf numFmtId="0" fontId="10" fillId="0" borderId="4" xfId="0" applyFont="1" applyBorder="1" applyAlignment="1">
      <alignment horizontal="justify" vertical="top" wrapText="1"/>
    </xf>
    <xf numFmtId="0" fontId="3" fillId="0" borderId="4" xfId="0" applyFont="1" applyBorder="1" applyAlignment="1">
      <alignment horizontal="center" vertical="top" wrapText="1"/>
    </xf>
    <xf numFmtId="0" fontId="3" fillId="0" borderId="0" xfId="0" applyFont="1" applyBorder="1" applyAlignment="1">
      <alignment horizontal="justify" vertical="top" wrapText="1"/>
    </xf>
    <xf numFmtId="0" fontId="3" fillId="4" borderId="0" xfId="0" applyFont="1" applyFill="1" applyAlignment="1">
      <alignment horizontal="justify" vertical="top" wrapText="1"/>
    </xf>
    <xf numFmtId="0" fontId="29" fillId="2" borderId="0" xfId="0" applyFont="1" applyFill="1" applyAlignment="1">
      <alignment vertical="top"/>
    </xf>
    <xf numFmtId="3" fontId="10" fillId="4" borderId="0" xfId="0" applyNumberFormat="1" applyFont="1" applyFill="1" applyAlignment="1">
      <alignment horizontal="right" vertical="top" wrapText="1"/>
    </xf>
    <xf numFmtId="0" fontId="20" fillId="0" borderId="0" xfId="0" applyFont="1" applyAlignment="1">
      <alignment horizontal="justify" vertical="top" wrapText="1"/>
    </xf>
    <xf numFmtId="0" fontId="10" fillId="4" borderId="0" xfId="0" applyFont="1" applyFill="1" applyAlignment="1">
      <alignment horizontal="right" vertical="top" wrapText="1"/>
    </xf>
    <xf numFmtId="0" fontId="10" fillId="0" borderId="0" xfId="0" applyFont="1" applyBorder="1" applyAlignment="1">
      <alignment horizontal="justify" vertical="top" wrapText="1"/>
    </xf>
    <xf numFmtId="3" fontId="10" fillId="0" borderId="0" xfId="0" applyNumberFormat="1" applyFont="1" applyBorder="1" applyAlignment="1">
      <alignment horizontal="right" vertical="top" wrapText="1"/>
    </xf>
    <xf numFmtId="3" fontId="10" fillId="0" borderId="0" xfId="0" applyNumberFormat="1" applyFont="1" applyFill="1" applyBorder="1" applyAlignment="1">
      <alignment horizontal="right" vertical="top" wrapText="1"/>
    </xf>
    <xf numFmtId="3" fontId="38" fillId="0" borderId="0" xfId="0" applyNumberFormat="1" applyFont="1" applyBorder="1" applyAlignment="1">
      <alignment horizontal="right" vertical="top" wrapText="1"/>
    </xf>
    <xf numFmtId="0" fontId="21" fillId="2" borderId="0" xfId="0" applyFont="1" applyFill="1" applyAlignment="1">
      <alignment horizontal="justify" vertical="top"/>
    </xf>
    <xf numFmtId="3" fontId="10" fillId="0" borderId="8" xfId="0" applyNumberFormat="1" applyFont="1" applyBorder="1" applyAlignment="1">
      <alignment horizontal="right" vertical="top" wrapText="1"/>
    </xf>
    <xf numFmtId="3" fontId="10" fillId="4" borderId="8" xfId="0" applyNumberFormat="1" applyFont="1" applyFill="1" applyBorder="1" applyAlignment="1">
      <alignment horizontal="right" vertical="top" wrapText="1"/>
    </xf>
    <xf numFmtId="0" fontId="10" fillId="0" borderId="8" xfId="0" applyFont="1" applyBorder="1" applyAlignment="1">
      <alignment horizontal="right" vertical="top" wrapText="1"/>
    </xf>
    <xf numFmtId="0" fontId="10" fillId="4" borderId="8" xfId="0" applyFont="1" applyFill="1" applyBorder="1" applyAlignment="1">
      <alignment horizontal="right" vertical="top" wrapText="1"/>
    </xf>
    <xf numFmtId="3" fontId="10" fillId="0" borderId="6" xfId="0" applyNumberFormat="1" applyFont="1" applyBorder="1" applyAlignment="1">
      <alignment horizontal="right" vertical="top" wrapText="1"/>
    </xf>
    <xf numFmtId="3" fontId="10" fillId="4" borderId="6" xfId="0" applyNumberFormat="1" applyFont="1" applyFill="1" applyBorder="1" applyAlignment="1">
      <alignment horizontal="right" vertical="top" wrapText="1"/>
    </xf>
    <xf numFmtId="3" fontId="10" fillId="4" borderId="7" xfId="0" applyNumberFormat="1" applyFont="1" applyFill="1" applyBorder="1" applyAlignment="1">
      <alignment horizontal="right" vertical="top" wrapText="1"/>
    </xf>
    <xf numFmtId="0" fontId="37" fillId="0" borderId="0" xfId="0" applyFont="1" applyBorder="1" applyAlignment="1">
      <alignment horizontal="right" vertical="center" wrapText="1"/>
    </xf>
    <xf numFmtId="0" fontId="38" fillId="0" borderId="0" xfId="0" applyFont="1" applyBorder="1" applyAlignment="1">
      <alignment horizontal="right" vertical="center" wrapText="1"/>
    </xf>
    <xf numFmtId="0" fontId="3" fillId="0" borderId="4" xfId="0" applyFont="1" applyBorder="1" applyAlignment="1">
      <alignment horizontal="justify" vertical="center" wrapText="1"/>
    </xf>
    <xf numFmtId="0" fontId="5" fillId="0" borderId="4" xfId="0" applyFont="1" applyBorder="1" applyAlignment="1">
      <alignment horizontal="justify" vertical="center" wrapText="1"/>
    </xf>
    <xf numFmtId="0" fontId="10" fillId="0" borderId="5" xfId="0" applyFont="1" applyBorder="1" applyAlignment="1">
      <alignment horizontal="justify" vertical="center" wrapText="1"/>
    </xf>
    <xf numFmtId="0" fontId="3" fillId="0" borderId="11" xfId="0" applyFont="1" applyBorder="1" applyAlignment="1">
      <alignment horizontal="justify" vertical="center" wrapText="1"/>
    </xf>
    <xf numFmtId="168" fontId="10" fillId="2" borderId="0" xfId="0" applyNumberFormat="1" applyFont="1" applyFill="1" applyAlignment="1">
      <alignment horizontal="right" wrapText="1"/>
    </xf>
    <xf numFmtId="168" fontId="10" fillId="2" borderId="4" xfId="0" applyNumberFormat="1" applyFont="1" applyFill="1" applyBorder="1" applyAlignment="1">
      <alignment horizontal="right" wrapText="1"/>
    </xf>
    <xf numFmtId="168" fontId="3" fillId="5" borderId="4" xfId="0" applyNumberFormat="1" applyFont="1" applyFill="1" applyBorder="1" applyAlignment="1">
      <alignment horizontal="right" wrapText="1"/>
    </xf>
    <xf numFmtId="168" fontId="3" fillId="0" borderId="4" xfId="0" applyNumberFormat="1" applyFont="1" applyBorder="1" applyAlignment="1">
      <alignment horizontal="right" wrapText="1"/>
    </xf>
    <xf numFmtId="168" fontId="10" fillId="2" borderId="1" xfId="0" applyNumberFormat="1" applyFont="1" applyFill="1" applyBorder="1" applyAlignment="1">
      <alignment horizontal="right" wrapText="1"/>
    </xf>
    <xf numFmtId="0" fontId="3" fillId="2" borderId="0" xfId="0" applyFont="1" applyFill="1" applyAlignment="1">
      <alignment vertical="top" wrapText="1"/>
    </xf>
    <xf numFmtId="167" fontId="10" fillId="0" borderId="0" xfId="0" applyNumberFormat="1" applyFont="1" applyAlignment="1">
      <alignment horizontal="right" vertical="top" wrapText="1"/>
    </xf>
    <xf numFmtId="167" fontId="10" fillId="0" borderId="4" xfId="0" applyNumberFormat="1" applyFont="1" applyBorder="1" applyAlignment="1">
      <alignment horizontal="right" vertical="top" wrapText="1"/>
    </xf>
    <xf numFmtId="3" fontId="3" fillId="0" borderId="5" xfId="0" applyNumberFormat="1" applyFont="1" applyBorder="1" applyAlignment="1">
      <alignment horizontal="right" vertical="top" wrapText="1"/>
    </xf>
    <xf numFmtId="167" fontId="10" fillId="0" borderId="5" xfId="0" applyNumberFormat="1" applyFont="1" applyBorder="1" applyAlignment="1">
      <alignment horizontal="right" vertical="top" wrapText="1"/>
    </xf>
    <xf numFmtId="167" fontId="10" fillId="0" borderId="4" xfId="0" applyNumberFormat="1" applyFont="1" applyBorder="1" applyAlignment="1">
      <alignment horizontal="right" vertical="center" wrapText="1"/>
    </xf>
    <xf numFmtId="0" fontId="43" fillId="0" borderId="0" xfId="0" applyFont="1" applyAlignment="1">
      <alignment vertical="center"/>
    </xf>
    <xf numFmtId="0" fontId="4" fillId="0" borderId="0" xfId="0" applyFont="1" applyAlignment="1">
      <alignment vertical="center" wrapText="1"/>
    </xf>
    <xf numFmtId="3" fontId="0" fillId="2" borderId="0" xfId="0" applyNumberFormat="1" applyFill="1" applyBorder="1"/>
    <xf numFmtId="3" fontId="0" fillId="0" borderId="0" xfId="0" applyNumberFormat="1" applyFill="1" applyBorder="1"/>
    <xf numFmtId="0" fontId="0" fillId="0" borderId="0" xfId="0" applyAlignment="1">
      <alignment vertical="top"/>
    </xf>
    <xf numFmtId="0" fontId="3" fillId="2" borderId="0" xfId="0" applyFont="1" applyFill="1" applyBorder="1" applyAlignment="1">
      <alignment vertical="top" wrapText="1"/>
    </xf>
    <xf numFmtId="0" fontId="38" fillId="0" borderId="0" xfId="0" applyFont="1" applyAlignment="1">
      <alignment horizontal="right" vertical="center" wrapText="1"/>
    </xf>
    <xf numFmtId="49" fontId="10" fillId="2" borderId="0" xfId="0" applyNumberFormat="1" applyFont="1" applyFill="1" applyAlignment="1">
      <alignment wrapText="1"/>
    </xf>
    <xf numFmtId="0" fontId="3" fillId="2" borderId="0" xfId="0" quotePrefix="1" applyFont="1" applyFill="1" applyAlignment="1">
      <alignment horizontal="justify"/>
    </xf>
    <xf numFmtId="0" fontId="0" fillId="0" borderId="0" xfId="0" applyAlignment="1">
      <alignment vertical="top"/>
    </xf>
    <xf numFmtId="0" fontId="3" fillId="2" borderId="0" xfId="0" applyFont="1" applyFill="1" applyBorder="1" applyAlignment="1">
      <alignment vertical="top" wrapText="1"/>
    </xf>
    <xf numFmtId="0" fontId="38" fillId="0" borderId="0" xfId="0" applyFont="1" applyBorder="1" applyAlignment="1">
      <alignment horizontal="right" wrapText="1"/>
    </xf>
    <xf numFmtId="3" fontId="38" fillId="0" borderId="0" xfId="0" applyNumberFormat="1" applyFont="1" applyBorder="1" applyAlignment="1">
      <alignment horizontal="right" wrapText="1"/>
    </xf>
    <xf numFmtId="0" fontId="4" fillId="0" borderId="0" xfId="0" applyFont="1" applyAlignment="1">
      <alignment horizontal="justify" vertical="center" wrapText="1"/>
    </xf>
    <xf numFmtId="0" fontId="5" fillId="0" borderId="5" xfId="0" applyFont="1" applyBorder="1" applyAlignment="1">
      <alignment horizontal="justify" vertical="center" wrapText="1"/>
    </xf>
    <xf numFmtId="0" fontId="3" fillId="5" borderId="0" xfId="0" applyFont="1" applyFill="1" applyAlignment="1">
      <alignment horizontal="right" wrapText="1"/>
    </xf>
    <xf numFmtId="0" fontId="3" fillId="0" borderId="0" xfId="0" applyFont="1" applyAlignment="1">
      <alignment horizontal="right" wrapText="1"/>
    </xf>
    <xf numFmtId="0" fontId="10" fillId="5" borderId="0" xfId="0" applyFont="1" applyFill="1" applyAlignment="1">
      <alignment horizontal="justify" wrapText="1"/>
    </xf>
    <xf numFmtId="0" fontId="3" fillId="0" borderId="13" xfId="0" applyFont="1" applyBorder="1" applyAlignment="1">
      <alignment horizontal="right" vertical="center" wrapText="1"/>
    </xf>
    <xf numFmtId="0" fontId="37" fillId="0" borderId="13" xfId="0" applyFont="1" applyBorder="1" applyAlignment="1">
      <alignment horizontal="right" vertical="center" wrapText="1"/>
    </xf>
    <xf numFmtId="0" fontId="3" fillId="0" borderId="16" xfId="0" applyFont="1" applyBorder="1" applyAlignment="1">
      <alignment horizontal="right" vertical="center" wrapText="1"/>
    </xf>
    <xf numFmtId="0" fontId="38" fillId="0" borderId="16" xfId="0" applyFont="1" applyBorder="1" applyAlignment="1">
      <alignment horizontal="right" vertical="center" wrapText="1"/>
    </xf>
    <xf numFmtId="0" fontId="38" fillId="0" borderId="13" xfId="0" applyFont="1" applyBorder="1" applyAlignment="1">
      <alignment horizontal="right" vertical="center" wrapText="1"/>
    </xf>
    <xf numFmtId="0" fontId="0" fillId="2" borderId="13" xfId="0" applyFill="1" applyBorder="1" applyAlignment="1">
      <alignment vertical="top" wrapText="1"/>
    </xf>
    <xf numFmtId="0" fontId="3" fillId="2" borderId="16" xfId="0" applyFont="1" applyFill="1" applyBorder="1" applyAlignment="1">
      <alignment vertical="top" wrapText="1"/>
    </xf>
    <xf numFmtId="0" fontId="3" fillId="2" borderId="13" xfId="0" applyFont="1" applyFill="1" applyBorder="1" applyAlignment="1">
      <alignment vertical="top" wrapText="1"/>
    </xf>
    <xf numFmtId="0" fontId="38" fillId="0" borderId="11" xfId="0" applyFont="1" applyBorder="1" applyAlignment="1">
      <alignment horizontal="right" vertical="center" wrapText="1"/>
    </xf>
    <xf numFmtId="0" fontId="3" fillId="2" borderId="0" xfId="0" quotePrefix="1" applyFont="1" applyFill="1" applyAlignment="1">
      <alignment wrapText="1"/>
    </xf>
    <xf numFmtId="0" fontId="0" fillId="0" borderId="0" xfId="0" applyAlignment="1">
      <alignment vertical="top"/>
    </xf>
    <xf numFmtId="0" fontId="3" fillId="3" borderId="0" xfId="0" applyFont="1" applyFill="1" applyAlignment="1">
      <alignment vertical="top" wrapText="1"/>
    </xf>
    <xf numFmtId="0" fontId="10" fillId="3" borderId="0" xfId="0" applyFont="1" applyFill="1" applyAlignment="1">
      <alignment vertical="top" wrapText="1"/>
    </xf>
    <xf numFmtId="0" fontId="0" fillId="0" borderId="0" xfId="0" applyAlignment="1">
      <alignment vertical="top"/>
    </xf>
    <xf numFmtId="0" fontId="3" fillId="2" borderId="0" xfId="0" applyFont="1" applyFill="1"/>
    <xf numFmtId="0" fontId="3" fillId="5" borderId="5" xfId="0" applyFont="1" applyFill="1" applyBorder="1" applyAlignment="1">
      <alignment horizontal="justify" wrapText="1"/>
    </xf>
    <xf numFmtId="0" fontId="3" fillId="3" borderId="0" xfId="0" applyFont="1" applyFill="1" applyAlignment="1">
      <alignment vertical="top" wrapText="1"/>
    </xf>
    <xf numFmtId="0" fontId="0" fillId="0" borderId="0" xfId="0" applyAlignment="1">
      <alignment vertical="top"/>
    </xf>
    <xf numFmtId="0" fontId="22" fillId="2" borderId="4" xfId="0" applyFont="1" applyFill="1" applyBorder="1" applyAlignment="1">
      <alignment vertical="top" wrapText="1"/>
    </xf>
    <xf numFmtId="0" fontId="0" fillId="0" borderId="0" xfId="0" applyAlignment="1">
      <alignment vertical="top"/>
    </xf>
    <xf numFmtId="0" fontId="7" fillId="0" borderId="0" xfId="0" applyFont="1" applyAlignment="1">
      <alignment horizontal="justify"/>
    </xf>
    <xf numFmtId="0" fontId="10" fillId="2" borderId="0" xfId="0" applyFont="1" applyFill="1" applyAlignment="1">
      <alignment horizontal="justify" vertical="top"/>
    </xf>
    <xf numFmtId="0" fontId="0" fillId="0" borderId="0" xfId="0" applyAlignment="1">
      <alignment vertical="top"/>
    </xf>
    <xf numFmtId="0" fontId="10" fillId="5" borderId="0" xfId="0" applyFont="1" applyFill="1" applyAlignment="1">
      <alignment horizontal="left" vertical="center" wrapText="1"/>
    </xf>
    <xf numFmtId="0" fontId="3" fillId="5" borderId="0" xfId="0" applyFont="1" applyFill="1" applyAlignment="1">
      <alignment horizontal="left" vertical="center"/>
    </xf>
    <xf numFmtId="0" fontId="10" fillId="5" borderId="0" xfId="0" applyFont="1" applyFill="1" applyAlignment="1">
      <alignment horizontal="left" vertical="center"/>
    </xf>
    <xf numFmtId="0" fontId="3" fillId="5" borderId="0" xfId="0" applyFont="1" applyFill="1" applyAlignment="1">
      <alignment horizontal="left" vertical="center" wrapText="1"/>
    </xf>
    <xf numFmtId="0" fontId="23" fillId="5" borderId="0" xfId="0" applyFont="1" applyFill="1" applyAlignment="1">
      <alignment horizontal="left" wrapText="1"/>
    </xf>
    <xf numFmtId="0" fontId="0" fillId="0" borderId="0" xfId="0" applyAlignment="1">
      <alignment vertical="top"/>
    </xf>
    <xf numFmtId="0" fontId="0" fillId="7" borderId="0" xfId="0" applyFill="1" applyAlignment="1">
      <alignment vertical="top"/>
    </xf>
    <xf numFmtId="0" fontId="10" fillId="2" borderId="0" xfId="0" applyFont="1" applyFill="1" applyAlignment="1">
      <alignment horizontal="right" vertical="top" wrapText="1"/>
    </xf>
    <xf numFmtId="0" fontId="0" fillId="0" borderId="0" xfId="0"/>
    <xf numFmtId="0" fontId="4" fillId="2" borderId="0" xfId="0" applyFont="1" applyFill="1" applyAlignment="1">
      <alignment vertical="top" wrapText="1"/>
    </xf>
    <xf numFmtId="0" fontId="10" fillId="8" borderId="0" xfId="3" applyFont="1" applyFill="1"/>
    <xf numFmtId="0" fontId="3" fillId="2" borderId="0" xfId="3" applyFill="1"/>
    <xf numFmtId="0" fontId="3" fillId="0" borderId="0" xfId="3"/>
    <xf numFmtId="0" fontId="4" fillId="2" borderId="0" xfId="3" applyFont="1" applyFill="1"/>
    <xf numFmtId="0" fontId="4" fillId="2" borderId="0" xfId="3" applyFont="1" applyFill="1" applyAlignment="1">
      <alignment horizontal="justify"/>
    </xf>
    <xf numFmtId="0" fontId="3" fillId="7" borderId="0" xfId="3" applyFill="1"/>
    <xf numFmtId="0" fontId="3" fillId="0" borderId="0" xfId="3" applyAlignment="1"/>
    <xf numFmtId="0" fontId="3" fillId="2" borderId="0" xfId="3" applyFont="1" applyFill="1" applyAlignment="1">
      <alignment horizontal="justify"/>
    </xf>
    <xf numFmtId="0" fontId="3" fillId="7" borderId="0" xfId="3" applyFont="1" applyFill="1" applyAlignment="1">
      <alignment wrapText="1"/>
    </xf>
    <xf numFmtId="0" fontId="10" fillId="2" borderId="0" xfId="3" applyFont="1" applyFill="1" applyAlignment="1">
      <alignment horizontal="justify"/>
    </xf>
    <xf numFmtId="0" fontId="3" fillId="2" borderId="0" xfId="3" applyFill="1" applyAlignment="1">
      <alignment horizontal="justify"/>
    </xf>
    <xf numFmtId="0" fontId="3" fillId="3" borderId="0" xfId="3" applyFont="1" applyFill="1" applyAlignment="1">
      <alignment horizontal="justify"/>
    </xf>
    <xf numFmtId="0" fontId="3" fillId="0" borderId="6" xfId="3" applyFont="1" applyBorder="1" applyAlignment="1">
      <alignment vertical="top" wrapText="1"/>
    </xf>
    <xf numFmtId="0" fontId="3" fillId="0" borderId="0" xfId="3" applyFont="1"/>
    <xf numFmtId="0" fontId="3" fillId="0" borderId="0" xfId="3" applyFill="1"/>
    <xf numFmtId="0" fontId="3" fillId="0" borderId="7" xfId="3" applyFont="1" applyBorder="1" applyAlignment="1">
      <alignment vertical="top" wrapText="1"/>
    </xf>
    <xf numFmtId="0" fontId="3" fillId="7" borderId="0" xfId="3" applyFill="1" applyAlignment="1">
      <alignment vertical="center" wrapText="1"/>
    </xf>
    <xf numFmtId="0" fontId="3" fillId="0" borderId="8" xfId="3" applyFont="1" applyBorder="1" applyAlignment="1">
      <alignment vertical="top" wrapText="1"/>
    </xf>
    <xf numFmtId="0" fontId="3" fillId="7" borderId="0" xfId="3" applyFont="1" applyFill="1" applyAlignment="1">
      <alignment horizontal="center" vertical="center" wrapText="1"/>
    </xf>
    <xf numFmtId="0" fontId="0" fillId="0" borderId="0" xfId="0" applyAlignment="1">
      <alignment vertical="top"/>
    </xf>
    <xf numFmtId="0" fontId="0" fillId="2" borderId="0" xfId="0" applyFill="1" applyAlignment="1">
      <alignment horizontal="left" wrapText="1"/>
    </xf>
    <xf numFmtId="0" fontId="10" fillId="2" borderId="0" xfId="0" applyFont="1" applyFill="1" applyAlignment="1">
      <alignment horizontal="justify"/>
    </xf>
    <xf numFmtId="0" fontId="3" fillId="0" borderId="0" xfId="3" applyFont="1" applyBorder="1" applyAlignment="1">
      <alignment vertical="top" wrapText="1"/>
    </xf>
    <xf numFmtId="0" fontId="3" fillId="0" borderId="0" xfId="3" applyBorder="1" applyAlignment="1"/>
    <xf numFmtId="0" fontId="3" fillId="0" borderId="6" xfId="3" applyFont="1" applyBorder="1" applyAlignment="1">
      <alignment vertical="top" wrapText="1"/>
    </xf>
    <xf numFmtId="0" fontId="3" fillId="7" borderId="0" xfId="3" applyFont="1" applyFill="1" applyAlignment="1">
      <alignment horizontal="center" vertical="center" wrapText="1"/>
    </xf>
    <xf numFmtId="0" fontId="3" fillId="7" borderId="0" xfId="3" applyFill="1" applyAlignment="1">
      <alignment horizontal="center" vertical="center" wrapText="1"/>
    </xf>
    <xf numFmtId="0" fontId="3" fillId="0" borderId="0" xfId="3" applyBorder="1" applyAlignment="1">
      <alignment vertical="top" wrapText="1"/>
    </xf>
    <xf numFmtId="0" fontId="3" fillId="2" borderId="0" xfId="0" applyFont="1" applyFill="1" applyAlignment="1">
      <alignment horizontal="justify"/>
    </xf>
    <xf numFmtId="0" fontId="45" fillId="2" borderId="0" xfId="0" applyFont="1" applyFill="1" applyAlignment="1">
      <alignment wrapText="1"/>
    </xf>
    <xf numFmtId="0" fontId="0" fillId="0" borderId="0" xfId="0" applyAlignment="1">
      <alignment vertical="top"/>
    </xf>
    <xf numFmtId="0" fontId="30" fillId="2" borderId="0" xfId="0" applyFont="1" applyFill="1" applyAlignment="1">
      <alignment horizontal="justify" vertical="top"/>
    </xf>
    <xf numFmtId="0" fontId="0" fillId="0" borderId="0" xfId="0" applyAlignment="1">
      <alignment vertical="top"/>
    </xf>
    <xf numFmtId="0" fontId="3" fillId="0" borderId="0" xfId="0" applyFont="1" applyBorder="1" applyAlignment="1">
      <alignment wrapText="1"/>
    </xf>
    <xf numFmtId="0" fontId="3" fillId="5" borderId="0" xfId="0" applyFont="1" applyFill="1" applyAlignment="1">
      <alignment horizontal="justify" vertical="center" wrapText="1"/>
    </xf>
    <xf numFmtId="0" fontId="3" fillId="0" borderId="0" xfId="0" applyFont="1" applyAlignment="1">
      <alignment wrapText="1"/>
    </xf>
    <xf numFmtId="0" fontId="7" fillId="2" borderId="0" xfId="0" applyFont="1" applyFill="1" applyBorder="1" applyAlignment="1">
      <alignment horizontal="justify"/>
    </xf>
    <xf numFmtId="0" fontId="7" fillId="2" borderId="0" xfId="0" applyFont="1" applyFill="1" applyAlignment="1">
      <alignment wrapText="1"/>
    </xf>
    <xf numFmtId="0" fontId="0" fillId="2" borderId="0" xfId="0" applyFill="1" applyAlignment="1">
      <alignment horizontal="justify"/>
    </xf>
    <xf numFmtId="0" fontId="3" fillId="3" borderId="0" xfId="0" applyFont="1" applyFill="1" applyAlignment="1">
      <alignment horizontal="justify"/>
    </xf>
    <xf numFmtId="0" fontId="3" fillId="7" borderId="0" xfId="0" applyFont="1" applyFill="1" applyAlignment="1">
      <alignment horizontal="center" vertical="center" wrapText="1"/>
    </xf>
    <xf numFmtId="0" fontId="10" fillId="7" borderId="0" xfId="3" applyFont="1" applyFill="1" applyAlignment="1">
      <alignment horizontal="center" vertical="center" wrapText="1"/>
    </xf>
    <xf numFmtId="0" fontId="3" fillId="2" borderId="0" xfId="0" applyFont="1" applyFill="1" applyAlignment="1">
      <alignment horizontal="justify"/>
    </xf>
    <xf numFmtId="0" fontId="4" fillId="2" borderId="0" xfId="0" applyFont="1" applyFill="1" applyAlignment="1">
      <alignment horizontal="justify"/>
    </xf>
    <xf numFmtId="0" fontId="0" fillId="0" borderId="0" xfId="0"/>
    <xf numFmtId="0" fontId="46" fillId="2" borderId="0" xfId="0" applyFont="1" applyFill="1" applyAlignment="1">
      <alignment horizontal="right" wrapText="1"/>
    </xf>
    <xf numFmtId="0" fontId="6" fillId="2" borderId="0" xfId="3" applyFont="1" applyFill="1" applyAlignment="1"/>
    <xf numFmtId="0" fontId="3" fillId="0" borderId="0" xfId="3" applyFont="1" applyFill="1" applyAlignment="1"/>
    <xf numFmtId="0" fontId="3" fillId="0" borderId="0" xfId="0" applyFont="1"/>
    <xf numFmtId="0" fontId="5" fillId="0" borderId="0" xfId="0" applyFont="1" applyAlignment="1">
      <alignment vertical="center"/>
    </xf>
    <xf numFmtId="2" fontId="3" fillId="3" borderId="0" xfId="0" applyNumberFormat="1" applyFont="1" applyFill="1" applyAlignment="1">
      <alignment horizontal="center" vertical="center" wrapText="1"/>
    </xf>
    <xf numFmtId="2" fontId="3" fillId="3" borderId="4" xfId="0" applyNumberFormat="1" applyFont="1" applyFill="1" applyBorder="1" applyAlignment="1">
      <alignment horizontal="center" vertical="center" wrapText="1"/>
    </xf>
    <xf numFmtId="0" fontId="3" fillId="2" borderId="0" xfId="0" applyFont="1" applyFill="1" applyAlignment="1">
      <alignment horizontal="justify" vertical="top"/>
    </xf>
    <xf numFmtId="3" fontId="3" fillId="2" borderId="0" xfId="0" applyNumberFormat="1" applyFont="1" applyFill="1" applyBorder="1" applyAlignment="1">
      <alignment horizontal="center" vertical="top"/>
    </xf>
    <xf numFmtId="0" fontId="3" fillId="2" borderId="0" xfId="0" applyFont="1" applyFill="1" applyBorder="1" applyAlignment="1">
      <alignment horizontal="justify" vertical="top" wrapText="1"/>
    </xf>
    <xf numFmtId="168" fontId="3" fillId="2" borderId="4" xfId="0" applyNumberFormat="1" applyFont="1" applyFill="1" applyBorder="1" applyAlignment="1">
      <alignment horizontal="center" vertical="top" wrapText="1"/>
    </xf>
    <xf numFmtId="168" fontId="3" fillId="0" borderId="4" xfId="0" applyNumberFormat="1" applyFont="1" applyBorder="1" applyAlignment="1">
      <alignment horizontal="center" vertical="top" wrapText="1"/>
    </xf>
    <xf numFmtId="0" fontId="0" fillId="0" borderId="0" xfId="0" applyAlignment="1">
      <alignment vertical="top"/>
    </xf>
    <xf numFmtId="0" fontId="47" fillId="7" borderId="0" xfId="3" applyFont="1" applyFill="1" applyAlignment="1">
      <alignment horizontal="center" vertical="center" wrapText="1"/>
    </xf>
    <xf numFmtId="0" fontId="3" fillId="2" borderId="0" xfId="0" quotePrefix="1" applyFont="1" applyFill="1" applyAlignment="1">
      <alignment horizontal="left"/>
    </xf>
    <xf numFmtId="0" fontId="3" fillId="3" borderId="0" xfId="0" applyFont="1" applyFill="1" applyAlignment="1">
      <alignment horizontal="justify" vertical="top"/>
    </xf>
    <xf numFmtId="0" fontId="3" fillId="7" borderId="0" xfId="3" applyFont="1" applyFill="1" applyAlignment="1">
      <alignment horizontal="center" vertical="center" wrapText="1"/>
    </xf>
    <xf numFmtId="0" fontId="3" fillId="7" borderId="0" xfId="3" applyFill="1" applyAlignment="1">
      <alignment horizontal="center" vertical="center" wrapText="1"/>
    </xf>
    <xf numFmtId="0" fontId="3" fillId="0" borderId="0" xfId="3" applyAlignment="1"/>
    <xf numFmtId="0" fontId="11" fillId="2" borderId="0" xfId="3" applyFont="1" applyFill="1" applyAlignment="1">
      <alignment horizontal="justify" wrapText="1"/>
    </xf>
    <xf numFmtId="0" fontId="3" fillId="2" borderId="0" xfId="3" applyFont="1" applyFill="1" applyBorder="1" applyAlignment="1">
      <alignment vertical="top" wrapText="1"/>
    </xf>
    <xf numFmtId="0" fontId="3" fillId="2" borderId="0" xfId="3" applyFont="1" applyFill="1" applyBorder="1" applyAlignment="1">
      <alignment horizontal="justify" vertical="top" wrapText="1"/>
    </xf>
    <xf numFmtId="0" fontId="0" fillId="0" borderId="0" xfId="0" applyAlignment="1">
      <alignment vertical="top"/>
    </xf>
    <xf numFmtId="0" fontId="10" fillId="2" borderId="0" xfId="0" applyFont="1" applyFill="1" applyAlignment="1">
      <alignment horizontal="justify" vertical="top"/>
    </xf>
    <xf numFmtId="0" fontId="3" fillId="2" borderId="0" xfId="0" applyFont="1" applyFill="1" applyAlignment="1">
      <alignment horizontal="left" vertical="top" wrapText="1"/>
    </xf>
    <xf numFmtId="0" fontId="7" fillId="2" borderId="0" xfId="0" applyFont="1" applyFill="1" applyAlignment="1">
      <alignment horizontal="left" vertical="top" wrapText="1"/>
    </xf>
    <xf numFmtId="0" fontId="3" fillId="2" borderId="0" xfId="0" applyFont="1" applyFill="1" applyBorder="1" applyAlignment="1">
      <alignment horizontal="left" vertical="top"/>
    </xf>
    <xf numFmtId="0" fontId="0" fillId="0" borderId="0" xfId="0" applyAlignment="1">
      <alignment horizontal="left" vertical="top"/>
    </xf>
    <xf numFmtId="0" fontId="10" fillId="2" borderId="0" xfId="0" applyFont="1" applyFill="1" applyAlignment="1">
      <alignment vertical="top"/>
    </xf>
    <xf numFmtId="0" fontId="3" fillId="0" borderId="0" xfId="0" applyFont="1" applyAlignment="1">
      <alignment horizontal="justify" vertical="top"/>
    </xf>
    <xf numFmtId="0" fontId="10" fillId="0" borderId="0" xfId="0" applyFont="1" applyBorder="1" applyAlignment="1">
      <alignment horizontal="justify" vertical="center" wrapText="1"/>
    </xf>
    <xf numFmtId="0" fontId="3" fillId="3" borderId="0" xfId="0" applyFont="1" applyFill="1" applyAlignment="1">
      <alignment horizontal="left" vertical="top" wrapText="1"/>
    </xf>
    <xf numFmtId="0" fontId="7" fillId="3" borderId="0" xfId="0" applyFont="1" applyFill="1" applyAlignment="1">
      <alignment horizontal="left" vertical="top" wrapText="1"/>
    </xf>
    <xf numFmtId="0" fontId="3" fillId="0" borderId="0" xfId="0" applyFont="1" applyAlignment="1">
      <alignment horizontal="justify"/>
    </xf>
    <xf numFmtId="0" fontId="3" fillId="2" borderId="0" xfId="0" applyFont="1" applyFill="1" applyBorder="1" applyAlignment="1">
      <alignment vertical="top" wrapText="1"/>
    </xf>
    <xf numFmtId="0" fontId="3" fillId="2" borderId="0" xfId="0" applyFont="1" applyFill="1" applyAlignment="1">
      <alignment horizontal="left" vertical="top"/>
    </xf>
    <xf numFmtId="0" fontId="3" fillId="3" borderId="0" xfId="0" applyFont="1" applyFill="1" applyAlignment="1">
      <alignment vertical="top" wrapText="1"/>
    </xf>
    <xf numFmtId="0" fontId="7" fillId="2" borderId="0" xfId="0" applyFont="1" applyFill="1" applyAlignment="1">
      <alignment vertical="top" wrapText="1"/>
    </xf>
    <xf numFmtId="0" fontId="0" fillId="9" borderId="0" xfId="0" applyFill="1" applyAlignment="1">
      <alignment vertical="top"/>
    </xf>
    <xf numFmtId="0" fontId="3" fillId="3" borderId="0" xfId="0" applyFont="1" applyFill="1" applyAlignment="1">
      <alignment horizontal="justify" vertical="top"/>
    </xf>
    <xf numFmtId="0" fontId="3" fillId="0" borderId="0" xfId="0" applyFont="1" applyAlignment="1">
      <alignment vertical="top" wrapText="1"/>
    </xf>
    <xf numFmtId="0" fontId="3" fillId="3" borderId="0" xfId="0" applyFont="1" applyFill="1" applyAlignment="1">
      <alignment horizontal="justify" vertical="top" wrapText="1"/>
    </xf>
    <xf numFmtId="0" fontId="3" fillId="0" borderId="0" xfId="0" applyFont="1" applyAlignment="1">
      <alignment wrapText="1"/>
    </xf>
    <xf numFmtId="0" fontId="10" fillId="2" borderId="0" xfId="0" applyFont="1" applyFill="1" applyAlignment="1">
      <alignment horizontal="justify" vertical="top"/>
    </xf>
    <xf numFmtId="0" fontId="3" fillId="2" borderId="0" xfId="0" applyFont="1" applyFill="1" applyAlignment="1">
      <alignment horizontal="left" vertical="top" wrapText="1"/>
    </xf>
    <xf numFmtId="0" fontId="3" fillId="0" borderId="0" xfId="0" applyFont="1" applyAlignment="1">
      <alignment horizontal="justify" vertical="top"/>
    </xf>
    <xf numFmtId="0" fontId="10" fillId="2" borderId="0" xfId="0" applyFont="1" applyFill="1" applyAlignment="1">
      <alignment vertical="top"/>
    </xf>
    <xf numFmtId="0" fontId="10" fillId="0" borderId="0" xfId="0" applyFont="1" applyAlignment="1">
      <alignment vertical="top"/>
    </xf>
    <xf numFmtId="0" fontId="10" fillId="2" borderId="0" xfId="0" applyFont="1" applyFill="1" applyAlignment="1">
      <alignment horizontal="justify" vertical="top" wrapText="1"/>
    </xf>
    <xf numFmtId="0" fontId="3" fillId="2" borderId="0" xfId="0" applyFont="1" applyFill="1" applyBorder="1" applyAlignment="1">
      <alignment vertical="top" wrapText="1"/>
    </xf>
    <xf numFmtId="0" fontId="3" fillId="2" borderId="0" xfId="0" applyFont="1" applyFill="1" applyBorder="1" applyAlignment="1">
      <alignment horizontal="justify" wrapText="1"/>
    </xf>
    <xf numFmtId="0" fontId="3" fillId="0" borderId="0" xfId="0" applyFont="1" applyAlignment="1">
      <alignment horizontal="justify" vertical="top" wrapText="1"/>
    </xf>
    <xf numFmtId="0" fontId="10" fillId="2" borderId="0" xfId="0" applyFont="1" applyFill="1" applyAlignment="1">
      <alignment horizontal="justify" wrapText="1"/>
    </xf>
    <xf numFmtId="0" fontId="3" fillId="2" borderId="0" xfId="0" applyFont="1" applyFill="1" applyAlignment="1">
      <alignment horizontal="justify" wrapText="1"/>
    </xf>
    <xf numFmtId="0" fontId="3" fillId="2" borderId="0" xfId="0" applyFont="1" applyFill="1" applyAlignment="1">
      <alignment wrapText="1"/>
    </xf>
    <xf numFmtId="0" fontId="3" fillId="0" borderId="0" xfId="0" applyFont="1" applyAlignment="1">
      <alignment horizontal="left" vertical="top" wrapText="1"/>
    </xf>
    <xf numFmtId="0" fontId="8" fillId="0" borderId="0" xfId="0" applyFont="1" applyAlignment="1">
      <alignment horizontal="justify" vertical="top" wrapText="1"/>
    </xf>
    <xf numFmtId="0" fontId="3" fillId="3" borderId="0" xfId="0" applyFont="1" applyFill="1" applyAlignment="1">
      <alignment vertical="top" wrapText="1"/>
    </xf>
    <xf numFmtId="0" fontId="3" fillId="2" borderId="4" xfId="0" applyFont="1" applyFill="1" applyBorder="1" applyAlignment="1">
      <alignment vertical="top" wrapText="1"/>
    </xf>
    <xf numFmtId="0" fontId="3" fillId="2" borderId="4" xfId="0" applyFont="1" applyFill="1" applyBorder="1" applyAlignment="1">
      <alignment horizontal="justify" vertical="top" wrapText="1"/>
    </xf>
    <xf numFmtId="0" fontId="49" fillId="2" borderId="0" xfId="0" applyFont="1" applyFill="1" applyAlignment="1">
      <alignment wrapText="1"/>
    </xf>
    <xf numFmtId="0" fontId="50" fillId="2" borderId="0" xfId="0" applyFont="1" applyFill="1" applyAlignment="1">
      <alignment horizontal="center" wrapText="1"/>
    </xf>
    <xf numFmtId="0" fontId="49" fillId="2" borderId="0" xfId="3" applyFont="1" applyFill="1" applyAlignment="1">
      <alignment horizontal="left" vertical="top"/>
    </xf>
    <xf numFmtId="0" fontId="27" fillId="2" borderId="0" xfId="3" applyFont="1" applyFill="1" applyAlignment="1">
      <alignment horizontal="left" vertical="top"/>
    </xf>
    <xf numFmtId="0" fontId="3" fillId="0" borderId="0" xfId="3" applyAlignment="1">
      <alignment horizontal="left" vertical="top" wrapText="1"/>
    </xf>
    <xf numFmtId="0" fontId="51" fillId="2" borderId="0" xfId="0" applyFont="1" applyFill="1"/>
    <xf numFmtId="0" fontId="51" fillId="2" borderId="0" xfId="0" applyFont="1" applyFill="1" applyAlignment="1">
      <alignment vertical="top"/>
    </xf>
    <xf numFmtId="0" fontId="0" fillId="2" borderId="0" xfId="0" applyFill="1" applyAlignment="1">
      <alignment horizontal="left" vertical="top"/>
    </xf>
    <xf numFmtId="0" fontId="4" fillId="2" borderId="0" xfId="0" applyFont="1" applyFill="1" applyAlignment="1">
      <alignment horizontal="left" vertical="top"/>
    </xf>
    <xf numFmtId="0" fontId="52" fillId="0" borderId="0" xfId="0" applyFont="1" applyAlignment="1">
      <alignment horizontal="left" vertical="top"/>
    </xf>
    <xf numFmtId="0" fontId="5" fillId="2" borderId="0" xfId="0" applyFont="1" applyFill="1" applyAlignment="1">
      <alignment horizontal="left" vertical="top"/>
    </xf>
    <xf numFmtId="0" fontId="10" fillId="2" borderId="0" xfId="0" applyFont="1" applyFill="1" applyAlignment="1">
      <alignment horizontal="left" vertical="top"/>
    </xf>
    <xf numFmtId="0" fontId="7" fillId="2" borderId="2" xfId="0" applyFont="1" applyFill="1" applyBorder="1" applyAlignment="1">
      <alignment horizontal="left" vertical="top" wrapText="1"/>
    </xf>
    <xf numFmtId="0" fontId="3" fillId="2" borderId="2" xfId="0" applyFont="1" applyFill="1" applyBorder="1" applyAlignment="1">
      <alignment horizontal="left" vertical="top" wrapText="1"/>
    </xf>
    <xf numFmtId="0" fontId="0" fillId="7" borderId="0" xfId="0" applyFill="1" applyAlignment="1">
      <alignment horizontal="left" vertical="top"/>
    </xf>
    <xf numFmtId="0" fontId="3" fillId="2" borderId="0" xfId="0" applyFont="1" applyFill="1" applyBorder="1" applyAlignment="1">
      <alignment vertical="top"/>
    </xf>
    <xf numFmtId="0" fontId="3" fillId="2" borderId="0" xfId="0" applyFont="1" applyFill="1" applyAlignment="1">
      <alignment horizontal="justify" vertical="top"/>
    </xf>
    <xf numFmtId="0" fontId="14" fillId="10" borderId="0" xfId="0" applyFont="1" applyFill="1" applyAlignment="1">
      <alignment horizontal="left" vertical="top" wrapText="1"/>
    </xf>
    <xf numFmtId="0" fontId="14" fillId="10" borderId="0" xfId="0" applyFont="1" applyFill="1" applyAlignment="1">
      <alignment horizontal="left" vertical="top"/>
    </xf>
    <xf numFmtId="0" fontId="52" fillId="0" borderId="0" xfId="3" applyFont="1"/>
    <xf numFmtId="170" fontId="3" fillId="2" borderId="3" xfId="3" applyNumberFormat="1" applyFont="1" applyFill="1" applyBorder="1" applyAlignment="1">
      <alignment horizontal="right" vertical="top" wrapText="1"/>
    </xf>
    <xf numFmtId="170" fontId="19" fillId="2" borderId="0" xfId="3" applyNumberFormat="1" applyFont="1" applyFill="1" applyBorder="1" applyAlignment="1">
      <alignment horizontal="right" vertical="top" wrapText="1"/>
    </xf>
    <xf numFmtId="170" fontId="10" fillId="2" borderId="1" xfId="3" applyNumberFormat="1" applyFont="1" applyFill="1" applyBorder="1" applyAlignment="1">
      <alignment horizontal="right" vertical="top" wrapText="1"/>
    </xf>
    <xf numFmtId="0" fontId="14" fillId="10" borderId="0" xfId="3" applyFont="1" applyFill="1" applyAlignment="1">
      <alignment wrapText="1"/>
    </xf>
    <xf numFmtId="0" fontId="17" fillId="10" borderId="0" xfId="3" applyFont="1" applyFill="1" applyAlignment="1">
      <alignment horizontal="right" wrapText="1"/>
    </xf>
    <xf numFmtId="0" fontId="18" fillId="10" borderId="0" xfId="3" applyFont="1" applyFill="1" applyAlignment="1">
      <alignment horizontal="right" wrapText="1"/>
    </xf>
    <xf numFmtId="0" fontId="14" fillId="10" borderId="0" xfId="3" applyFont="1" applyFill="1" applyAlignment="1">
      <alignment horizontal="right" wrapText="1"/>
    </xf>
    <xf numFmtId="0" fontId="14" fillId="10" borderId="1" xfId="3" applyFont="1" applyFill="1" applyBorder="1" applyAlignment="1">
      <alignment wrapText="1"/>
    </xf>
    <xf numFmtId="0" fontId="35" fillId="10" borderId="7" xfId="3" applyFont="1" applyFill="1" applyBorder="1" applyAlignment="1">
      <alignment vertical="center" wrapText="1"/>
    </xf>
    <xf numFmtId="0" fontId="10" fillId="2" borderId="0" xfId="0" applyFont="1" applyFill="1" applyAlignment="1">
      <alignment horizontal="left" vertical="top" wrapText="1"/>
    </xf>
    <xf numFmtId="0" fontId="0" fillId="2" borderId="0" xfId="0" applyFill="1" applyAlignment="1">
      <alignment horizontal="left" vertical="top" wrapText="1"/>
    </xf>
    <xf numFmtId="0" fontId="35" fillId="10" borderId="0" xfId="3" applyFont="1" applyFill="1" applyAlignment="1">
      <alignment vertical="center" wrapText="1"/>
    </xf>
    <xf numFmtId="170" fontId="10" fillId="2" borderId="0" xfId="3" applyNumberFormat="1" applyFont="1" applyFill="1" applyBorder="1" applyAlignment="1">
      <alignment horizontal="right" vertical="top" wrapText="1"/>
    </xf>
    <xf numFmtId="0" fontId="3" fillId="0" borderId="0" xfId="3" applyFont="1" applyBorder="1"/>
    <xf numFmtId="0" fontId="3" fillId="2" borderId="0" xfId="3" applyFill="1" applyBorder="1" applyAlignment="1">
      <alignment horizontal="justify" vertical="top" wrapText="1"/>
    </xf>
    <xf numFmtId="0" fontId="3" fillId="2" borderId="0" xfId="3" applyFont="1" applyFill="1" applyAlignment="1">
      <alignment horizontal="left" vertical="top" wrapText="1"/>
    </xf>
    <xf numFmtId="0" fontId="3" fillId="2" borderId="0" xfId="3" applyFill="1" applyAlignment="1">
      <alignment horizontal="left" vertical="top" wrapText="1"/>
    </xf>
    <xf numFmtId="0" fontId="10" fillId="2" borderId="0" xfId="3" applyFont="1" applyFill="1" applyAlignment="1">
      <alignment horizontal="left" vertical="top" wrapText="1"/>
    </xf>
    <xf numFmtId="0" fontId="3" fillId="2" borderId="0" xfId="3" applyFill="1" applyBorder="1" applyAlignment="1">
      <alignment vertical="top" wrapText="1"/>
    </xf>
    <xf numFmtId="170" fontId="10" fillId="2" borderId="0" xfId="3" applyNumberFormat="1" applyFont="1" applyFill="1" applyBorder="1" applyAlignment="1">
      <alignment vertical="top" wrapText="1"/>
    </xf>
    <xf numFmtId="0" fontId="0" fillId="2" borderId="0" xfId="0" applyFill="1" applyAlignment="1">
      <alignment vertical="top" wrapText="1"/>
    </xf>
    <xf numFmtId="0" fontId="3" fillId="2" borderId="0" xfId="3" applyFont="1" applyFill="1" applyAlignment="1">
      <alignment vertical="top" wrapText="1"/>
    </xf>
    <xf numFmtId="0" fontId="3" fillId="2" borderId="0" xfId="3" applyFill="1" applyAlignment="1">
      <alignment vertical="top" wrapText="1"/>
    </xf>
    <xf numFmtId="0" fontId="10" fillId="2" borderId="0" xfId="3" applyFont="1" applyFill="1" applyAlignment="1">
      <alignment vertical="top" wrapText="1"/>
    </xf>
    <xf numFmtId="170" fontId="3" fillId="2" borderId="0" xfId="3" applyNumberFormat="1" applyFont="1" applyFill="1" applyBorder="1" applyAlignment="1">
      <alignment horizontal="right" wrapText="1"/>
    </xf>
    <xf numFmtId="170" fontId="3" fillId="2" borderId="0" xfId="3" applyNumberFormat="1" applyFont="1" applyFill="1" applyAlignment="1">
      <alignment horizontal="right" wrapText="1"/>
    </xf>
    <xf numFmtId="170" fontId="10" fillId="2" borderId="2" xfId="3" applyNumberFormat="1" applyFont="1" applyFill="1" applyBorder="1" applyAlignment="1">
      <alignment horizontal="right" wrapText="1"/>
    </xf>
    <xf numFmtId="170" fontId="3" fillId="2" borderId="2" xfId="3" applyNumberFormat="1" applyFont="1" applyFill="1" applyBorder="1" applyAlignment="1">
      <alignment horizontal="right" wrapText="1"/>
    </xf>
    <xf numFmtId="170" fontId="3" fillId="2" borderId="0" xfId="3" applyNumberFormat="1" applyFont="1" applyFill="1" applyAlignment="1">
      <alignment horizontal="right" vertical="top" wrapText="1"/>
    </xf>
    <xf numFmtId="170" fontId="10" fillId="2" borderId="0" xfId="3" applyNumberFormat="1" applyFont="1" applyFill="1" applyAlignment="1">
      <alignment horizontal="right" wrapText="1"/>
    </xf>
    <xf numFmtId="170" fontId="10" fillId="2" borderId="0" xfId="3" applyNumberFormat="1" applyFont="1" applyFill="1" applyAlignment="1">
      <alignment horizontal="right" vertical="top" wrapText="1"/>
    </xf>
    <xf numFmtId="170" fontId="10" fillId="2" borderId="0" xfId="3" applyNumberFormat="1" applyFont="1" applyFill="1" applyBorder="1" applyAlignment="1">
      <alignment horizontal="right" wrapText="1"/>
    </xf>
    <xf numFmtId="0" fontId="52" fillId="2" borderId="0" xfId="0" applyFont="1" applyFill="1" applyAlignment="1">
      <alignment vertical="top"/>
    </xf>
    <xf numFmtId="0" fontId="22" fillId="0" borderId="0" xfId="0" applyFont="1" applyAlignment="1">
      <alignment vertical="top"/>
    </xf>
    <xf numFmtId="0" fontId="14" fillId="10" borderId="0" xfId="0" applyFont="1" applyFill="1" applyAlignment="1">
      <alignment horizontal="right" vertical="top" wrapText="1"/>
    </xf>
    <xf numFmtId="0" fontId="14" fillId="10" borderId="0" xfId="0" applyFont="1" applyFill="1" applyAlignment="1">
      <alignment horizontal="right" wrapText="1"/>
    </xf>
    <xf numFmtId="0" fontId="44" fillId="10" borderId="0" xfId="0" applyFont="1" applyFill="1" applyAlignment="1">
      <alignment horizontal="right" vertical="top" wrapText="1"/>
    </xf>
    <xf numFmtId="0" fontId="44" fillId="10" borderId="0" xfId="0" applyFont="1" applyFill="1" applyBorder="1" applyAlignment="1">
      <alignment horizontal="right" vertical="top" wrapText="1"/>
    </xf>
    <xf numFmtId="168" fontId="10" fillId="11" borderId="0" xfId="0" applyNumberFormat="1" applyFont="1" applyFill="1" applyBorder="1" applyAlignment="1">
      <alignment horizontal="right" vertical="top" wrapText="1"/>
    </xf>
    <xf numFmtId="170" fontId="7" fillId="2" borderId="0" xfId="0" applyNumberFormat="1" applyFont="1" applyFill="1" applyAlignment="1">
      <alignment horizontal="right" vertical="top" wrapText="1"/>
    </xf>
    <xf numFmtId="170" fontId="10" fillId="11" borderId="0" xfId="0" applyNumberFormat="1" applyFont="1" applyFill="1" applyBorder="1" applyAlignment="1">
      <alignment horizontal="right" vertical="top" wrapText="1"/>
    </xf>
    <xf numFmtId="170" fontId="7" fillId="2" borderId="0" xfId="0" applyNumberFormat="1" applyFont="1" applyFill="1" applyBorder="1" applyAlignment="1">
      <alignment horizontal="right" vertical="top" wrapText="1"/>
    </xf>
    <xf numFmtId="170" fontId="7" fillId="2" borderId="5" xfId="0" applyNumberFormat="1" applyFont="1" applyFill="1" applyBorder="1" applyAlignment="1">
      <alignment horizontal="right" vertical="top" wrapText="1"/>
    </xf>
    <xf numFmtId="170" fontId="10" fillId="11" borderId="5" xfId="0" applyNumberFormat="1" applyFont="1" applyFill="1" applyBorder="1" applyAlignment="1">
      <alignment horizontal="right" vertical="top" wrapText="1"/>
    </xf>
    <xf numFmtId="170" fontId="7" fillId="11" borderId="0" xfId="0" applyNumberFormat="1" applyFont="1" applyFill="1" applyAlignment="1">
      <alignment horizontal="right" vertical="top" wrapText="1"/>
    </xf>
    <xf numFmtId="170" fontId="10" fillId="2" borderId="0" xfId="0" applyNumberFormat="1" applyFont="1" applyFill="1" applyAlignment="1">
      <alignment horizontal="right" vertical="top" wrapText="1"/>
    </xf>
    <xf numFmtId="170" fontId="10" fillId="11" borderId="0" xfId="0" applyNumberFormat="1" applyFont="1" applyFill="1" applyAlignment="1">
      <alignment horizontal="right" vertical="top" wrapText="1"/>
    </xf>
    <xf numFmtId="170" fontId="7" fillId="2" borderId="10" xfId="0" applyNumberFormat="1" applyFont="1" applyFill="1" applyBorder="1" applyAlignment="1">
      <alignment horizontal="right" vertical="top" wrapText="1"/>
    </xf>
    <xf numFmtId="170" fontId="10" fillId="11" borderId="10" xfId="0" applyNumberFormat="1" applyFont="1" applyFill="1" applyBorder="1" applyAlignment="1">
      <alignment horizontal="right" vertical="top" wrapText="1"/>
    </xf>
    <xf numFmtId="0" fontId="10" fillId="11" borderId="0" xfId="0" applyFont="1" applyFill="1" applyAlignment="1">
      <alignment horizontal="right" vertical="top" wrapText="1"/>
    </xf>
    <xf numFmtId="0" fontId="10" fillId="11" borderId="0" xfId="0" applyFont="1" applyFill="1" applyAlignment="1">
      <alignment vertical="top" wrapText="1"/>
    </xf>
    <xf numFmtId="170" fontId="7" fillId="2" borderId="0" xfId="0" applyNumberFormat="1" applyFont="1" applyFill="1" applyAlignment="1">
      <alignment vertical="top" wrapText="1"/>
    </xf>
    <xf numFmtId="170" fontId="10" fillId="11" borderId="0" xfId="0" applyNumberFormat="1" applyFont="1" applyFill="1" applyAlignment="1">
      <alignment vertical="top" wrapText="1"/>
    </xf>
    <xf numFmtId="170" fontId="10" fillId="2" borderId="0" xfId="0" applyNumberFormat="1" applyFont="1" applyFill="1" applyAlignment="1">
      <alignment vertical="top" wrapText="1"/>
    </xf>
    <xf numFmtId="170" fontId="0" fillId="0" borderId="0" xfId="0" applyNumberFormat="1" applyAlignment="1">
      <alignment vertical="top"/>
    </xf>
    <xf numFmtId="170" fontId="0" fillId="11" borderId="0" xfId="0" applyNumberFormat="1" applyFill="1" applyAlignment="1">
      <alignment vertical="top"/>
    </xf>
    <xf numFmtId="170" fontId="7" fillId="2" borderId="4" xfId="0" applyNumberFormat="1" applyFont="1" applyFill="1" applyBorder="1" applyAlignment="1">
      <alignment horizontal="right" vertical="top" wrapText="1"/>
    </xf>
    <xf numFmtId="170" fontId="10" fillId="11" borderId="4" xfId="0" applyNumberFormat="1" applyFont="1" applyFill="1" applyBorder="1" applyAlignment="1">
      <alignment horizontal="right" vertical="top" wrapText="1"/>
    </xf>
    <xf numFmtId="170" fontId="7" fillId="2" borderId="9" xfId="0" applyNumberFormat="1" applyFont="1" applyFill="1" applyBorder="1" applyAlignment="1">
      <alignment horizontal="right" vertical="top" wrapText="1"/>
    </xf>
    <xf numFmtId="170" fontId="10" fillId="11" borderId="9" xfId="0" applyNumberFormat="1" applyFont="1" applyFill="1" applyBorder="1" applyAlignment="1">
      <alignment horizontal="right" vertical="top" wrapText="1"/>
    </xf>
    <xf numFmtId="0" fontId="22" fillId="10" borderId="0" xfId="0" applyFont="1" applyFill="1" applyAlignment="1">
      <alignment vertical="top" wrapText="1"/>
    </xf>
    <xf numFmtId="3" fontId="22" fillId="10" borderId="0" xfId="0" applyNumberFormat="1" applyFont="1" applyFill="1" applyBorder="1" applyAlignment="1">
      <alignment horizontal="right" vertical="top" wrapText="1"/>
    </xf>
    <xf numFmtId="0" fontId="44" fillId="10" borderId="0" xfId="0" applyFont="1" applyFill="1" applyAlignment="1">
      <alignment horizontal="right" wrapText="1"/>
    </xf>
    <xf numFmtId="0" fontId="44" fillId="10" borderId="0" xfId="0" applyFont="1" applyFill="1" applyAlignment="1">
      <alignment horizontal="right" vertical="center" wrapText="1"/>
    </xf>
    <xf numFmtId="0" fontId="3" fillId="9" borderId="0" xfId="0" applyFont="1" applyFill="1" applyAlignment="1">
      <alignment vertical="top"/>
    </xf>
    <xf numFmtId="170" fontId="7" fillId="2" borderId="5" xfId="0" applyNumberFormat="1" applyFont="1" applyFill="1" applyBorder="1" applyAlignment="1">
      <alignment horizontal="right" vertical="center" wrapText="1"/>
    </xf>
    <xf numFmtId="170" fontId="10" fillId="11" borderId="5" xfId="0" applyNumberFormat="1" applyFont="1" applyFill="1" applyBorder="1" applyAlignment="1">
      <alignment horizontal="right" vertical="center" wrapText="1"/>
    </xf>
    <xf numFmtId="0" fontId="10" fillId="11" borderId="0" xfId="0" applyFont="1" applyFill="1" applyAlignment="1">
      <alignment vertical="center" wrapText="1"/>
    </xf>
    <xf numFmtId="3" fontId="3" fillId="11" borderId="0" xfId="0" applyNumberFormat="1" applyFont="1" applyFill="1" applyAlignment="1">
      <alignment horizontal="right" vertical="center" wrapText="1"/>
    </xf>
    <xf numFmtId="0" fontId="10" fillId="11" borderId="0" xfId="0" applyFont="1" applyFill="1" applyAlignment="1">
      <alignment horizontal="right" vertical="center" wrapText="1"/>
    </xf>
    <xf numFmtId="170" fontId="3" fillId="5" borderId="0" xfId="0" applyNumberFormat="1" applyFont="1" applyFill="1" applyAlignment="1">
      <alignment horizontal="right" vertical="center" wrapText="1"/>
    </xf>
    <xf numFmtId="170" fontId="3" fillId="11" borderId="0" xfId="0" applyNumberFormat="1" applyFont="1" applyFill="1" applyAlignment="1">
      <alignment horizontal="right" vertical="center" wrapText="1"/>
    </xf>
    <xf numFmtId="170" fontId="3" fillId="5" borderId="0" xfId="0" applyNumberFormat="1" applyFont="1" applyFill="1" applyBorder="1" applyAlignment="1">
      <alignment horizontal="right" vertical="center" wrapText="1"/>
    </xf>
    <xf numFmtId="170" fontId="3" fillId="11" borderId="0" xfId="0" applyNumberFormat="1" applyFont="1" applyFill="1" applyBorder="1" applyAlignment="1">
      <alignment horizontal="right" vertical="center" wrapText="1"/>
    </xf>
    <xf numFmtId="170" fontId="3" fillId="5" borderId="5" xfId="0" applyNumberFormat="1" applyFont="1" applyFill="1" applyBorder="1" applyAlignment="1">
      <alignment horizontal="right" vertical="center" wrapText="1"/>
    </xf>
    <xf numFmtId="170" fontId="3" fillId="11" borderId="5" xfId="0" applyNumberFormat="1" applyFont="1" applyFill="1" applyBorder="1" applyAlignment="1">
      <alignment horizontal="right" vertical="center" wrapText="1"/>
    </xf>
    <xf numFmtId="170" fontId="3" fillId="5" borderId="4" xfId="0" applyNumberFormat="1" applyFont="1" applyFill="1" applyBorder="1" applyAlignment="1">
      <alignment horizontal="right" vertical="center" wrapText="1"/>
    </xf>
    <xf numFmtId="170" fontId="10" fillId="11" borderId="4" xfId="0" applyNumberFormat="1" applyFont="1" applyFill="1" applyBorder="1" applyAlignment="1">
      <alignment horizontal="right" vertical="center" wrapText="1"/>
    </xf>
    <xf numFmtId="170" fontId="3" fillId="5" borderId="0" xfId="0" applyNumberFormat="1" applyFont="1" applyFill="1" applyAlignment="1">
      <alignment vertical="center" wrapText="1"/>
    </xf>
    <xf numFmtId="170" fontId="10" fillId="11" borderId="0" xfId="0" applyNumberFormat="1" applyFont="1" applyFill="1" applyAlignment="1">
      <alignment horizontal="right" vertical="center" wrapText="1"/>
    </xf>
    <xf numFmtId="170" fontId="3" fillId="11" borderId="4" xfId="0" applyNumberFormat="1" applyFont="1" applyFill="1" applyBorder="1" applyAlignment="1">
      <alignment horizontal="right" vertical="center" wrapText="1"/>
    </xf>
    <xf numFmtId="170" fontId="3" fillId="5" borderId="10" xfId="0" applyNumberFormat="1" applyFont="1" applyFill="1" applyBorder="1" applyAlignment="1">
      <alignment horizontal="right" vertical="center" wrapText="1"/>
    </xf>
    <xf numFmtId="170" fontId="10" fillId="11" borderId="10" xfId="0" applyNumberFormat="1" applyFont="1" applyFill="1" applyBorder="1" applyAlignment="1">
      <alignment horizontal="right" vertical="center" wrapText="1"/>
    </xf>
    <xf numFmtId="170" fontId="3" fillId="11" borderId="0" xfId="0" applyNumberFormat="1" applyFont="1" applyFill="1" applyAlignment="1">
      <alignment vertical="center" wrapText="1"/>
    </xf>
    <xf numFmtId="170" fontId="10" fillId="11" borderId="0" xfId="0" applyNumberFormat="1" applyFont="1" applyFill="1" applyBorder="1" applyAlignment="1">
      <alignment horizontal="right" vertical="center" wrapText="1"/>
    </xf>
    <xf numFmtId="170" fontId="3" fillId="5" borderId="7" xfId="0" applyNumberFormat="1" applyFont="1" applyFill="1" applyBorder="1" applyAlignment="1">
      <alignment horizontal="right" vertical="center" wrapText="1"/>
    </xf>
    <xf numFmtId="170" fontId="3" fillId="5" borderId="9" xfId="0" applyNumberFormat="1" applyFont="1" applyFill="1" applyBorder="1" applyAlignment="1">
      <alignment horizontal="right" vertical="center" wrapText="1"/>
    </xf>
    <xf numFmtId="171" fontId="3" fillId="5" borderId="7" xfId="0" applyNumberFormat="1" applyFont="1" applyFill="1" applyBorder="1" applyAlignment="1">
      <alignment horizontal="right" vertical="center" wrapText="1"/>
    </xf>
    <xf numFmtId="171" fontId="3" fillId="5" borderId="9" xfId="0" applyNumberFormat="1" applyFont="1" applyFill="1" applyBorder="1" applyAlignment="1">
      <alignment horizontal="right" vertical="center" wrapText="1"/>
    </xf>
    <xf numFmtId="0" fontId="14" fillId="10" borderId="0" xfId="0" applyFont="1" applyFill="1" applyAlignment="1">
      <alignment wrapText="1"/>
    </xf>
    <xf numFmtId="170" fontId="10" fillId="11" borderId="7" xfId="0" applyNumberFormat="1" applyFont="1" applyFill="1" applyBorder="1" applyAlignment="1">
      <alignment horizontal="right" vertical="center" wrapText="1"/>
    </xf>
    <xf numFmtId="170" fontId="10" fillId="11" borderId="9" xfId="0" applyNumberFormat="1" applyFont="1" applyFill="1" applyBorder="1" applyAlignment="1">
      <alignment horizontal="right" vertical="center" wrapText="1"/>
    </xf>
    <xf numFmtId="171" fontId="10" fillId="11" borderId="7" xfId="0" applyNumberFormat="1" applyFont="1" applyFill="1" applyBorder="1" applyAlignment="1">
      <alignment horizontal="right" vertical="center" wrapText="1"/>
    </xf>
    <xf numFmtId="171" fontId="10" fillId="11" borderId="9" xfId="0" applyNumberFormat="1" applyFont="1" applyFill="1" applyBorder="1" applyAlignment="1">
      <alignment horizontal="right" vertical="center" wrapText="1"/>
    </xf>
    <xf numFmtId="3" fontId="3" fillId="11" borderId="4" xfId="0" applyNumberFormat="1" applyFont="1" applyFill="1" applyBorder="1" applyAlignment="1">
      <alignment horizontal="right" vertical="center" wrapText="1"/>
    </xf>
    <xf numFmtId="3" fontId="3" fillId="11" borderId="0" xfId="0" applyNumberFormat="1" applyFont="1" applyFill="1" applyBorder="1" applyAlignment="1">
      <alignment horizontal="right" vertical="center" wrapText="1"/>
    </xf>
    <xf numFmtId="3" fontId="3" fillId="11" borderId="20" xfId="0" applyNumberFormat="1" applyFont="1" applyFill="1" applyBorder="1" applyAlignment="1">
      <alignment horizontal="right" vertical="center" wrapText="1"/>
    </xf>
    <xf numFmtId="171" fontId="3" fillId="11" borderId="0" xfId="0" applyNumberFormat="1" applyFont="1" applyFill="1" applyAlignment="1">
      <alignment horizontal="right" vertical="center" wrapText="1"/>
    </xf>
    <xf numFmtId="171" fontId="3" fillId="11" borderId="4" xfId="0" applyNumberFormat="1" applyFont="1" applyFill="1" applyBorder="1" applyAlignment="1">
      <alignment horizontal="right" vertical="center" wrapText="1"/>
    </xf>
    <xf numFmtId="171" fontId="3" fillId="11" borderId="0" xfId="0" applyNumberFormat="1" applyFont="1" applyFill="1" applyBorder="1" applyAlignment="1">
      <alignment horizontal="right" vertical="center" wrapText="1"/>
    </xf>
    <xf numFmtId="171" fontId="3" fillId="0" borderId="0" xfId="0" applyNumberFormat="1" applyFont="1" applyFill="1" applyBorder="1" applyAlignment="1">
      <alignment horizontal="right" vertical="center" wrapText="1"/>
    </xf>
    <xf numFmtId="171" fontId="3" fillId="11" borderId="20" xfId="0" applyNumberFormat="1" applyFont="1" applyFill="1" applyBorder="1" applyAlignment="1">
      <alignment horizontal="right" vertical="center" wrapText="1"/>
    </xf>
    <xf numFmtId="171" fontId="3" fillId="0" borderId="4" xfId="0" applyNumberFormat="1" applyFont="1" applyFill="1" applyBorder="1" applyAlignment="1">
      <alignment horizontal="right" vertical="center" wrapText="1"/>
    </xf>
    <xf numFmtId="0" fontId="49" fillId="2" borderId="0" xfId="0" applyFont="1" applyFill="1" applyAlignment="1">
      <alignment vertical="top"/>
    </xf>
    <xf numFmtId="3" fontId="7" fillId="11" borderId="0" xfId="0" applyNumberFormat="1" applyFont="1" applyFill="1" applyAlignment="1">
      <alignment horizontal="right" vertical="top" wrapText="1"/>
    </xf>
    <xf numFmtId="167" fontId="7" fillId="11" borderId="0" xfId="0" applyNumberFormat="1" applyFont="1" applyFill="1" applyAlignment="1">
      <alignment horizontal="right" vertical="top" wrapText="1"/>
    </xf>
    <xf numFmtId="0" fontId="22" fillId="0" borderId="4" xfId="0" applyFont="1" applyBorder="1" applyAlignment="1">
      <alignment vertical="top" wrapText="1"/>
    </xf>
    <xf numFmtId="167" fontId="3" fillId="5" borderId="4" xfId="0" applyNumberFormat="1" applyFont="1" applyFill="1" applyBorder="1" applyAlignment="1">
      <alignment horizontal="right" vertical="top" wrapText="1"/>
    </xf>
    <xf numFmtId="167" fontId="3" fillId="11" borderId="4" xfId="0" applyNumberFormat="1" applyFont="1" applyFill="1" applyBorder="1" applyAlignment="1">
      <alignment horizontal="right" vertical="top" wrapText="1"/>
    </xf>
    <xf numFmtId="0" fontId="10" fillId="0" borderId="4" xfId="0" applyFont="1" applyBorder="1" applyAlignment="1">
      <alignment horizontal="center" vertical="top"/>
    </xf>
    <xf numFmtId="0" fontId="20" fillId="0" borderId="0" xfId="0" applyFont="1" applyAlignment="1">
      <alignment vertical="top"/>
    </xf>
    <xf numFmtId="0" fontId="22" fillId="0" borderId="0" xfId="0" applyFont="1" applyAlignment="1">
      <alignment vertical="top" wrapText="1"/>
    </xf>
    <xf numFmtId="167" fontId="3" fillId="5" borderId="0" xfId="0" applyNumberFormat="1" applyFont="1" applyFill="1" applyAlignment="1">
      <alignment horizontal="center" vertical="top" wrapText="1"/>
    </xf>
    <xf numFmtId="167" fontId="3" fillId="11" borderId="0" xfId="0" applyNumberFormat="1" applyFont="1" applyFill="1" applyAlignment="1">
      <alignment horizontal="center" vertical="top" wrapText="1"/>
    </xf>
    <xf numFmtId="167" fontId="3" fillId="0" borderId="0" xfId="0" applyNumberFormat="1" applyFont="1" applyAlignment="1">
      <alignment horizontal="center" vertical="top" wrapText="1"/>
    </xf>
    <xf numFmtId="0" fontId="10" fillId="0" borderId="0" xfId="0" applyFont="1" applyAlignment="1">
      <alignment horizontal="center" vertical="top"/>
    </xf>
    <xf numFmtId="167" fontId="3" fillId="5" borderId="4" xfId="0" applyNumberFormat="1" applyFont="1" applyFill="1" applyBorder="1" applyAlignment="1">
      <alignment horizontal="center" vertical="top" wrapText="1"/>
    </xf>
    <xf numFmtId="167" fontId="3" fillId="11" borderId="4" xfId="0" applyNumberFormat="1" applyFont="1" applyFill="1" applyBorder="1" applyAlignment="1">
      <alignment horizontal="center" vertical="top" wrapText="1"/>
    </xf>
    <xf numFmtId="167" fontId="3" fillId="0" borderId="4" xfId="0" applyNumberFormat="1" applyFont="1" applyBorder="1" applyAlignment="1">
      <alignment horizontal="center" vertical="top" wrapText="1"/>
    </xf>
    <xf numFmtId="6" fontId="3" fillId="0" borderId="0" xfId="0" applyNumberFormat="1" applyFont="1" applyAlignment="1">
      <alignment horizontal="center" vertical="top" wrapText="1"/>
    </xf>
    <xf numFmtId="6" fontId="3" fillId="11" borderId="0" xfId="0" applyNumberFormat="1" applyFont="1" applyFill="1" applyAlignment="1">
      <alignment horizontal="center" vertical="top" wrapText="1"/>
    </xf>
    <xf numFmtId="0" fontId="3" fillId="7" borderId="0" xfId="0" applyFont="1" applyFill="1" applyAlignment="1">
      <alignment vertical="top"/>
    </xf>
    <xf numFmtId="0" fontId="3" fillId="2" borderId="0" xfId="0" applyFont="1" applyFill="1" applyAlignment="1">
      <alignment horizontal="right" vertical="top" wrapText="1"/>
    </xf>
    <xf numFmtId="0" fontId="3" fillId="0" borderId="0" xfId="0" applyFont="1" applyAlignment="1"/>
    <xf numFmtId="0" fontId="3" fillId="0" borderId="5" xfId="0" applyFont="1" applyBorder="1" applyAlignment="1"/>
    <xf numFmtId="3" fontId="3" fillId="0" borderId="0" xfId="0" applyNumberFormat="1" applyFont="1" applyAlignment="1">
      <alignment vertical="top"/>
    </xf>
    <xf numFmtId="0" fontId="14" fillId="10" borderId="0" xfId="0" applyFont="1" applyFill="1" applyAlignment="1">
      <alignment vertical="top" wrapText="1"/>
    </xf>
    <xf numFmtId="0" fontId="14" fillId="10" borderId="0" xfId="0" applyFont="1" applyFill="1" applyAlignment="1">
      <alignment vertical="top" wrapText="1"/>
    </xf>
    <xf numFmtId="0" fontId="3" fillId="10" borderId="0" xfId="0" applyFont="1" applyFill="1" applyAlignment="1">
      <alignment vertical="top" wrapText="1"/>
    </xf>
    <xf numFmtId="0" fontId="3" fillId="11" borderId="0" xfId="0" applyFont="1" applyFill="1" applyAlignment="1">
      <alignment horizontal="right" wrapText="1"/>
    </xf>
    <xf numFmtId="170" fontId="3" fillId="5" borderId="0" xfId="0" applyNumberFormat="1" applyFont="1" applyFill="1" applyAlignment="1">
      <alignment horizontal="right" wrapText="1"/>
    </xf>
    <xf numFmtId="170" fontId="3" fillId="11" borderId="0" xfId="0" applyNumberFormat="1" applyFont="1" applyFill="1" applyAlignment="1">
      <alignment horizontal="right" wrapText="1"/>
    </xf>
    <xf numFmtId="170" fontId="3" fillId="0" borderId="0" xfId="0" applyNumberFormat="1" applyFont="1" applyAlignment="1">
      <alignment horizontal="right" wrapText="1"/>
    </xf>
    <xf numFmtId="170" fontId="3" fillId="5" borderId="4" xfId="0" applyNumberFormat="1" applyFont="1" applyFill="1" applyBorder="1" applyAlignment="1">
      <alignment horizontal="right" wrapText="1"/>
    </xf>
    <xf numFmtId="170" fontId="3" fillId="11" borderId="4" xfId="0" applyNumberFormat="1" applyFont="1" applyFill="1" applyBorder="1" applyAlignment="1">
      <alignment horizontal="right" wrapText="1"/>
    </xf>
    <xf numFmtId="170" fontId="3" fillId="0" borderId="4" xfId="0" applyNumberFormat="1" applyFont="1" applyBorder="1" applyAlignment="1">
      <alignment horizontal="right" wrapText="1"/>
    </xf>
    <xf numFmtId="170" fontId="10" fillId="5" borderId="0" xfId="0" applyNumberFormat="1" applyFont="1" applyFill="1" applyAlignment="1">
      <alignment horizontal="right" wrapText="1"/>
    </xf>
    <xf numFmtId="170" fontId="10" fillId="11" borderId="0" xfId="0" applyNumberFormat="1" applyFont="1" applyFill="1" applyAlignment="1">
      <alignment horizontal="right" wrapText="1"/>
    </xf>
    <xf numFmtId="170" fontId="10" fillId="0" borderId="0" xfId="0" applyNumberFormat="1" applyFont="1" applyAlignment="1">
      <alignment horizontal="right" wrapText="1"/>
    </xf>
    <xf numFmtId="170" fontId="3" fillId="5" borderId="0" xfId="0" applyNumberFormat="1" applyFont="1" applyFill="1" applyBorder="1" applyAlignment="1">
      <alignment horizontal="right" wrapText="1"/>
    </xf>
    <xf numFmtId="170" fontId="3" fillId="11" borderId="0" xfId="0" applyNumberFormat="1" applyFont="1" applyFill="1" applyBorder="1" applyAlignment="1">
      <alignment horizontal="right" wrapText="1"/>
    </xf>
    <xf numFmtId="170" fontId="10" fillId="5" borderId="5" xfId="0" applyNumberFormat="1" applyFont="1" applyFill="1" applyBorder="1" applyAlignment="1">
      <alignment horizontal="right" wrapText="1"/>
    </xf>
    <xf numFmtId="170" fontId="10" fillId="11" borderId="5" xfId="0" applyNumberFormat="1" applyFont="1" applyFill="1" applyBorder="1" applyAlignment="1">
      <alignment horizontal="right" wrapText="1"/>
    </xf>
    <xf numFmtId="170" fontId="10" fillId="0" borderId="5" xfId="0" applyNumberFormat="1" applyFont="1" applyBorder="1" applyAlignment="1">
      <alignment horizontal="right" wrapText="1"/>
    </xf>
    <xf numFmtId="0" fontId="3" fillId="10" borderId="0" xfId="0" applyFont="1" applyFill="1" applyBorder="1" applyAlignment="1">
      <alignment horizontal="center" vertical="top"/>
    </xf>
    <xf numFmtId="3" fontId="3" fillId="10" borderId="0" xfId="0" applyNumberFormat="1" applyFont="1" applyFill="1" applyBorder="1" applyAlignment="1">
      <alignment horizontal="center" vertical="top"/>
    </xf>
    <xf numFmtId="0" fontId="14" fillId="10" borderId="0" xfId="0" applyFont="1" applyFill="1" applyAlignment="1">
      <alignment horizontal="center" vertical="top" wrapText="1"/>
    </xf>
    <xf numFmtId="170" fontId="3" fillId="0" borderId="0" xfId="0" applyNumberFormat="1" applyFont="1" applyBorder="1" applyAlignment="1">
      <alignment horizontal="right" wrapText="1"/>
    </xf>
    <xf numFmtId="170" fontId="3" fillId="0" borderId="0" xfId="0" applyNumberFormat="1" applyFont="1" applyAlignment="1">
      <alignment horizontal="right" vertical="center" wrapText="1"/>
    </xf>
    <xf numFmtId="170" fontId="10" fillId="0" borderId="0" xfId="0" applyNumberFormat="1" applyFont="1" applyAlignment="1">
      <alignment horizontal="right" vertical="center" wrapText="1"/>
    </xf>
    <xf numFmtId="170" fontId="3" fillId="0" borderId="4" xfId="0" applyNumberFormat="1" applyFont="1" applyBorder="1" applyAlignment="1">
      <alignment horizontal="right" vertical="center" wrapText="1"/>
    </xf>
    <xf numFmtId="3" fontId="3" fillId="2" borderId="0" xfId="0" applyNumberFormat="1" applyFont="1" applyFill="1" applyAlignment="1">
      <alignment vertical="top"/>
    </xf>
    <xf numFmtId="170" fontId="10" fillId="0" borderId="13" xfId="0" applyNumberFormat="1" applyFont="1" applyBorder="1" applyAlignment="1">
      <alignment horizontal="right" vertical="center" wrapText="1"/>
    </xf>
    <xf numFmtId="170" fontId="3" fillId="0" borderId="16" xfId="0" applyNumberFormat="1" applyFont="1" applyBorder="1" applyAlignment="1">
      <alignment horizontal="right" vertical="center" wrapText="1"/>
    </xf>
    <xf numFmtId="170" fontId="3" fillId="0" borderId="0" xfId="0" applyNumberFormat="1" applyFont="1" applyBorder="1" applyAlignment="1">
      <alignment horizontal="right" vertical="center" wrapText="1"/>
    </xf>
    <xf numFmtId="170" fontId="3" fillId="0" borderId="13" xfId="0" applyNumberFormat="1" applyFont="1" applyBorder="1" applyAlignment="1">
      <alignment horizontal="right" vertical="center" wrapText="1"/>
    </xf>
    <xf numFmtId="170" fontId="37" fillId="0" borderId="13" xfId="0" applyNumberFormat="1" applyFont="1" applyBorder="1" applyAlignment="1">
      <alignment horizontal="right" vertical="center" wrapText="1"/>
    </xf>
    <xf numFmtId="170" fontId="38" fillId="0" borderId="16" xfId="0" applyNumberFormat="1" applyFont="1" applyBorder="1" applyAlignment="1">
      <alignment horizontal="right" vertical="center" wrapText="1"/>
    </xf>
    <xf numFmtId="170" fontId="38" fillId="0" borderId="0" xfId="0" applyNumberFormat="1" applyFont="1" applyBorder="1" applyAlignment="1">
      <alignment horizontal="right" vertical="center" wrapText="1"/>
    </xf>
    <xf numFmtId="170" fontId="38" fillId="0" borderId="13" xfId="0" applyNumberFormat="1" applyFont="1" applyBorder="1" applyAlignment="1">
      <alignment horizontal="right" vertical="center" wrapText="1"/>
    </xf>
    <xf numFmtId="170" fontId="38" fillId="0" borderId="0" xfId="0" applyNumberFormat="1" applyFont="1" applyAlignment="1">
      <alignment horizontal="right" vertical="center" wrapText="1"/>
    </xf>
    <xf numFmtId="170" fontId="37" fillId="0" borderId="12" xfId="0" applyNumberFormat="1" applyFont="1" applyBorder="1" applyAlignment="1">
      <alignment horizontal="right" vertical="center" wrapText="1"/>
    </xf>
    <xf numFmtId="170" fontId="38" fillId="0" borderId="17" xfId="0" applyNumberFormat="1" applyFont="1" applyBorder="1" applyAlignment="1">
      <alignment horizontal="right" vertical="center" wrapText="1"/>
    </xf>
    <xf numFmtId="170" fontId="38" fillId="0" borderId="4" xfId="0" applyNumberFormat="1" applyFont="1" applyBorder="1" applyAlignment="1">
      <alignment horizontal="right" vertical="center" wrapText="1"/>
    </xf>
    <xf numFmtId="170" fontId="38" fillId="0" borderId="12" xfId="0" applyNumberFormat="1" applyFont="1" applyBorder="1" applyAlignment="1">
      <alignment horizontal="right" vertical="center" wrapText="1"/>
    </xf>
    <xf numFmtId="170" fontId="39" fillId="0" borderId="12" xfId="0" applyNumberFormat="1" applyFont="1" applyBorder="1" applyAlignment="1">
      <alignment horizontal="right" vertical="center" wrapText="1"/>
    </xf>
    <xf numFmtId="170" fontId="40" fillId="0" borderId="17" xfId="0" applyNumberFormat="1" applyFont="1" applyBorder="1" applyAlignment="1">
      <alignment horizontal="right" vertical="center" wrapText="1"/>
    </xf>
    <xf numFmtId="170" fontId="40" fillId="0" borderId="4" xfId="0" applyNumberFormat="1" applyFont="1" applyBorder="1" applyAlignment="1">
      <alignment horizontal="right" vertical="center" wrapText="1"/>
    </xf>
    <xf numFmtId="170" fontId="40" fillId="0" borderId="12" xfId="0" applyNumberFormat="1" applyFont="1" applyBorder="1" applyAlignment="1">
      <alignment horizontal="right" vertical="center" wrapText="1"/>
    </xf>
    <xf numFmtId="170" fontId="0" fillId="2" borderId="0" xfId="0" applyNumberFormat="1" applyFill="1" applyBorder="1" applyAlignment="1">
      <alignment vertical="top" wrapText="1"/>
    </xf>
    <xf numFmtId="170" fontId="0" fillId="2" borderId="16" xfId="0" applyNumberFormat="1" applyFill="1" applyBorder="1" applyAlignment="1">
      <alignment vertical="top"/>
    </xf>
    <xf numFmtId="170" fontId="0" fillId="2" borderId="0" xfId="0" applyNumberFormat="1" applyFill="1" applyBorder="1" applyAlignment="1">
      <alignment vertical="top"/>
    </xf>
    <xf numFmtId="170" fontId="0" fillId="2" borderId="13" xfId="0" applyNumberFormat="1" applyFill="1" applyBorder="1" applyAlignment="1">
      <alignment vertical="top"/>
    </xf>
    <xf numFmtId="170" fontId="37" fillId="0" borderId="15" xfId="0" applyNumberFormat="1" applyFont="1" applyBorder="1" applyAlignment="1">
      <alignment horizontal="right" vertical="center" wrapText="1"/>
    </xf>
    <xf numFmtId="170" fontId="38" fillId="0" borderId="19" xfId="0" applyNumberFormat="1" applyFont="1" applyBorder="1" applyAlignment="1">
      <alignment horizontal="right" vertical="center" wrapText="1"/>
    </xf>
    <xf numFmtId="170" fontId="38" fillId="0" borderId="5" xfId="0" applyNumberFormat="1" applyFont="1" applyBorder="1" applyAlignment="1">
      <alignment horizontal="right" vertical="center" wrapText="1"/>
    </xf>
    <xf numFmtId="170" fontId="38" fillId="0" borderId="15" xfId="0" applyNumberFormat="1" applyFont="1" applyBorder="1" applyAlignment="1">
      <alignment horizontal="right" vertical="center" wrapText="1"/>
    </xf>
    <xf numFmtId="170" fontId="0" fillId="2" borderId="18" xfId="0" applyNumberFormat="1" applyFill="1" applyBorder="1" applyAlignment="1">
      <alignment vertical="top"/>
    </xf>
    <xf numFmtId="170" fontId="0" fillId="2" borderId="11" xfId="0" applyNumberFormat="1" applyFill="1" applyBorder="1" applyAlignment="1">
      <alignment vertical="top"/>
    </xf>
    <xf numFmtId="170" fontId="0" fillId="2" borderId="14" xfId="0" applyNumberFormat="1" applyFill="1" applyBorder="1" applyAlignment="1">
      <alignment vertical="top"/>
    </xf>
    <xf numFmtId="170" fontId="41" fillId="0" borderId="14" xfId="0" applyNumberFormat="1" applyFont="1" applyBorder="1" applyAlignment="1">
      <alignment vertical="center" wrapText="1"/>
    </xf>
    <xf numFmtId="170" fontId="42" fillId="0" borderId="18" xfId="0" applyNumberFormat="1" applyFont="1" applyBorder="1" applyAlignment="1">
      <alignment vertical="center" wrapText="1"/>
    </xf>
    <xf numFmtId="170" fontId="42" fillId="0" borderId="11" xfId="0" applyNumberFormat="1" applyFont="1" applyBorder="1" applyAlignment="1">
      <alignment vertical="center" wrapText="1"/>
    </xf>
    <xf numFmtId="170" fontId="42" fillId="0" borderId="14" xfId="0" applyNumberFormat="1" applyFont="1" applyBorder="1" applyAlignment="1">
      <alignment vertical="center" wrapText="1"/>
    </xf>
    <xf numFmtId="170" fontId="3" fillId="2" borderId="0" xfId="0" applyNumberFormat="1" applyFont="1" applyFill="1" applyBorder="1" applyAlignment="1">
      <alignment vertical="top" wrapText="1"/>
    </xf>
    <xf numFmtId="170" fontId="10" fillId="0" borderId="12" xfId="0" applyNumberFormat="1" applyFont="1" applyBorder="1" applyAlignment="1">
      <alignment horizontal="right" vertical="center" wrapText="1"/>
    </xf>
    <xf numFmtId="170" fontId="3" fillId="0" borderId="17" xfId="0" applyNumberFormat="1" applyFont="1" applyBorder="1" applyAlignment="1">
      <alignment horizontal="right" vertical="center" wrapText="1"/>
    </xf>
    <xf numFmtId="170" fontId="3" fillId="0" borderId="12" xfId="0" applyNumberFormat="1" applyFont="1" applyBorder="1" applyAlignment="1">
      <alignment horizontal="right" vertical="center" wrapText="1"/>
    </xf>
    <xf numFmtId="170" fontId="37" fillId="0" borderId="19" xfId="0" applyNumberFormat="1" applyFont="1" applyBorder="1" applyAlignment="1">
      <alignment horizontal="right" vertical="center" wrapText="1"/>
    </xf>
    <xf numFmtId="170" fontId="37" fillId="0" borderId="5" xfId="0" applyNumberFormat="1" applyFont="1" applyBorder="1" applyAlignment="1">
      <alignment horizontal="right" vertical="center" wrapText="1"/>
    </xf>
    <xf numFmtId="170" fontId="5" fillId="0" borderId="13" xfId="0" applyNumberFormat="1" applyFont="1" applyBorder="1" applyAlignment="1">
      <alignment horizontal="right" vertical="center" wrapText="1"/>
    </xf>
    <xf numFmtId="170" fontId="4" fillId="0" borderId="16" xfId="0" applyNumberFormat="1" applyFont="1" applyBorder="1" applyAlignment="1">
      <alignment horizontal="right" vertical="center" wrapText="1"/>
    </xf>
    <xf numFmtId="170" fontId="4" fillId="0" borderId="0" xfId="0" applyNumberFormat="1" applyFont="1" applyBorder="1" applyAlignment="1">
      <alignment horizontal="right" vertical="center" wrapText="1"/>
    </xf>
    <xf numFmtId="170" fontId="4" fillId="0" borderId="13" xfId="0" applyNumberFormat="1" applyFont="1" applyBorder="1" applyAlignment="1">
      <alignment horizontal="right" vertical="center" wrapText="1"/>
    </xf>
    <xf numFmtId="170" fontId="4" fillId="0" borderId="0" xfId="0" applyNumberFormat="1" applyFont="1" applyAlignment="1">
      <alignment horizontal="right" vertical="center" wrapText="1"/>
    </xf>
    <xf numFmtId="170" fontId="5" fillId="0" borderId="15" xfId="0" applyNumberFormat="1" applyFont="1" applyBorder="1" applyAlignment="1">
      <alignment horizontal="right" vertical="center" wrapText="1"/>
    </xf>
    <xf numFmtId="170" fontId="4" fillId="0" borderId="19" xfId="0" applyNumberFormat="1" applyFont="1" applyBorder="1" applyAlignment="1">
      <alignment horizontal="right" vertical="center" wrapText="1"/>
    </xf>
    <xf numFmtId="170" fontId="4" fillId="0" borderId="5" xfId="0" applyNumberFormat="1" applyFont="1" applyBorder="1" applyAlignment="1">
      <alignment horizontal="right" vertical="center" wrapText="1"/>
    </xf>
    <xf numFmtId="170" fontId="4" fillId="0" borderId="15" xfId="0" applyNumberFormat="1" applyFont="1" applyBorder="1" applyAlignment="1">
      <alignment horizontal="right" vertical="center" wrapText="1"/>
    </xf>
    <xf numFmtId="0" fontId="35" fillId="10" borderId="0" xfId="0" applyFont="1" applyFill="1" applyAlignment="1">
      <alignment horizontal="center" vertical="center" wrapText="1"/>
    </xf>
    <xf numFmtId="0" fontId="35" fillId="10" borderId="13" xfId="0" applyFont="1" applyFill="1" applyBorder="1" applyAlignment="1">
      <alignment horizontal="right" vertical="center" wrapText="1"/>
    </xf>
    <xf numFmtId="0" fontId="35" fillId="10" borderId="16" xfId="0" applyFont="1" applyFill="1" applyBorder="1" applyAlignment="1">
      <alignment horizontal="right" vertical="center" wrapText="1"/>
    </xf>
    <xf numFmtId="0" fontId="35" fillId="10" borderId="0" xfId="0" applyFont="1" applyFill="1" applyBorder="1" applyAlignment="1">
      <alignment horizontal="right" vertical="center" wrapText="1"/>
    </xf>
    <xf numFmtId="0" fontId="35" fillId="10" borderId="0" xfId="0" applyFont="1" applyFill="1" applyAlignment="1">
      <alignment horizontal="right" vertical="center" wrapText="1"/>
    </xf>
    <xf numFmtId="0" fontId="35" fillId="10" borderId="0" xfId="0" applyFont="1" applyFill="1" applyAlignment="1">
      <alignment horizontal="right" vertical="center" wrapText="1" indent="1"/>
    </xf>
    <xf numFmtId="0" fontId="36" fillId="10" borderId="0" xfId="0" applyFont="1" applyFill="1" applyAlignment="1">
      <alignment vertical="center" wrapText="1"/>
    </xf>
    <xf numFmtId="0" fontId="49" fillId="0" borderId="0" xfId="0" applyFont="1" applyAlignment="1">
      <alignment vertical="top"/>
    </xf>
    <xf numFmtId="0" fontId="14" fillId="10" borderId="0" xfId="0" applyFont="1" applyFill="1" applyAlignment="1">
      <alignment horizontal="center" vertical="center" wrapText="1"/>
    </xf>
    <xf numFmtId="0" fontId="35" fillId="10" borderId="0" xfId="0" applyFont="1" applyFill="1" applyAlignment="1">
      <alignment vertical="center" wrapText="1"/>
    </xf>
    <xf numFmtId="0" fontId="3" fillId="2" borderId="0" xfId="0" applyFont="1" applyFill="1" applyBorder="1"/>
    <xf numFmtId="0" fontId="3" fillId="2" borderId="0" xfId="0" applyFont="1" applyFill="1" applyAlignment="1">
      <alignment horizontal="justify"/>
    </xf>
    <xf numFmtId="0" fontId="3" fillId="2" borderId="0" xfId="0" applyFont="1" applyFill="1" applyBorder="1" applyAlignment="1">
      <alignment wrapText="1"/>
    </xf>
    <xf numFmtId="0" fontId="49" fillId="0" borderId="0" xfId="0" applyFont="1" applyAlignment="1">
      <alignment horizontal="justify" vertical="top"/>
    </xf>
    <xf numFmtId="0" fontId="22" fillId="0" borderId="0" xfId="0" applyFont="1" applyFill="1" applyAlignment="1">
      <alignment vertical="top"/>
    </xf>
    <xf numFmtId="0" fontId="53" fillId="0" borderId="0" xfId="0" applyFont="1" applyFill="1" applyBorder="1" applyAlignment="1">
      <alignment vertical="top"/>
    </xf>
    <xf numFmtId="0" fontId="54" fillId="0" borderId="0" xfId="0" quotePrefix="1" applyNumberFormat="1" applyFont="1" applyFill="1" applyBorder="1" applyAlignment="1">
      <alignment vertical="top"/>
    </xf>
    <xf numFmtId="0" fontId="54" fillId="0" borderId="0" xfId="0" applyNumberFormat="1" applyFont="1" applyFill="1" applyBorder="1" applyAlignment="1">
      <alignment vertical="top"/>
    </xf>
    <xf numFmtId="0" fontId="54" fillId="0" borderId="0" xfId="0" applyFont="1" applyFill="1" applyBorder="1" applyAlignment="1">
      <alignment vertical="top"/>
    </xf>
    <xf numFmtId="164" fontId="54" fillId="0" borderId="0" xfId="2" applyNumberFormat="1" applyFont="1" applyFill="1" applyBorder="1" applyAlignment="1">
      <alignment vertical="top"/>
    </xf>
    <xf numFmtId="0" fontId="54" fillId="0" borderId="0" xfId="0" applyFont="1" applyFill="1" applyAlignment="1">
      <alignment vertical="top"/>
    </xf>
    <xf numFmtId="164" fontId="54" fillId="0" borderId="0" xfId="2" applyNumberFormat="1" applyFont="1" applyFill="1" applyAlignment="1">
      <alignment vertical="top"/>
    </xf>
    <xf numFmtId="1" fontId="54" fillId="0" borderId="0" xfId="2" quotePrefix="1" applyNumberFormat="1" applyFont="1" applyFill="1" applyBorder="1" applyAlignment="1">
      <alignment vertical="top"/>
    </xf>
    <xf numFmtId="1" fontId="54" fillId="0" borderId="0" xfId="2" applyNumberFormat="1" applyFont="1" applyFill="1" applyBorder="1" applyAlignment="1">
      <alignment vertical="top"/>
    </xf>
    <xf numFmtId="0" fontId="54" fillId="0" borderId="0" xfId="0" applyFont="1" applyAlignment="1">
      <alignment vertical="top"/>
    </xf>
    <xf numFmtId="1" fontId="54" fillId="0" borderId="0" xfId="0" applyNumberFormat="1" applyFont="1" applyAlignment="1">
      <alignment vertical="top"/>
    </xf>
    <xf numFmtId="2" fontId="54" fillId="0" borderId="0" xfId="2" applyNumberFormat="1" applyFont="1" applyFill="1" applyAlignment="1">
      <alignment vertical="top"/>
    </xf>
    <xf numFmtId="0" fontId="54" fillId="0" borderId="0" xfId="0" quotePrefix="1" applyNumberFormat="1" applyFont="1" applyFill="1" applyAlignment="1">
      <alignment vertical="top"/>
    </xf>
    <xf numFmtId="0" fontId="54" fillId="0" borderId="0" xfId="0" applyNumberFormat="1" applyFont="1" applyFill="1" applyAlignment="1">
      <alignment vertical="top"/>
    </xf>
    <xf numFmtId="0" fontId="54" fillId="3" borderId="0" xfId="0" applyFont="1" applyFill="1" applyAlignment="1">
      <alignment vertical="top"/>
    </xf>
    <xf numFmtId="2" fontId="54" fillId="3" borderId="0" xfId="2" quotePrefix="1" applyNumberFormat="1" applyFont="1" applyFill="1" applyAlignment="1">
      <alignment vertical="top"/>
    </xf>
    <xf numFmtId="0" fontId="54" fillId="0" borderId="0" xfId="0" applyNumberFormat="1" applyFont="1" applyFill="1" applyBorder="1" applyAlignment="1">
      <alignment vertical="top" wrapText="1"/>
    </xf>
    <xf numFmtId="0" fontId="54" fillId="0" borderId="0" xfId="0" applyFont="1" applyFill="1" applyAlignment="1">
      <alignment vertical="top" wrapText="1"/>
    </xf>
    <xf numFmtId="164" fontId="54" fillId="0" borderId="0" xfId="2" quotePrefix="1" applyNumberFormat="1" applyFont="1" applyFill="1" applyAlignment="1">
      <alignment vertical="top"/>
    </xf>
    <xf numFmtId="0" fontId="13" fillId="0" borderId="0" xfId="0" applyNumberFormat="1" applyFont="1" applyFill="1" applyAlignment="1">
      <alignment vertical="top"/>
    </xf>
    <xf numFmtId="0" fontId="53" fillId="0" borderId="0" xfId="0" applyFont="1" applyFill="1" applyBorder="1" applyAlignment="1"/>
    <xf numFmtId="0" fontId="54" fillId="0" borderId="0" xfId="0" quotePrefix="1" applyNumberFormat="1" applyFont="1" applyFill="1" applyBorder="1" applyAlignment="1"/>
    <xf numFmtId="0" fontId="3" fillId="0" borderId="0" xfId="0" applyFont="1" applyFill="1" applyAlignment="1">
      <alignment horizontal="justify" vertical="top"/>
    </xf>
    <xf numFmtId="0" fontId="53" fillId="0" borderId="0" xfId="0" applyFont="1" applyFill="1" applyBorder="1" applyAlignment="1">
      <alignment horizontal="right"/>
    </xf>
    <xf numFmtId="0" fontId="54" fillId="0" borderId="0" xfId="0" applyNumberFormat="1" applyFont="1" applyFill="1" applyBorder="1" applyAlignment="1">
      <alignment horizontal="right"/>
    </xf>
    <xf numFmtId="0" fontId="3" fillId="3" borderId="0" xfId="0" applyFont="1" applyFill="1" applyAlignment="1">
      <alignment horizontal="justify" vertical="top"/>
    </xf>
    <xf numFmtId="0" fontId="14" fillId="10" borderId="0" xfId="0" applyFont="1" applyFill="1" applyAlignment="1">
      <alignment horizontal="center" vertical="top" wrapText="1"/>
    </xf>
    <xf numFmtId="0" fontId="51" fillId="0" borderId="0" xfId="0" applyFont="1"/>
    <xf numFmtId="0" fontId="55" fillId="2" borderId="0" xfId="0" applyFont="1" applyFill="1" applyAlignment="1"/>
    <xf numFmtId="0" fontId="3" fillId="0" borderId="0" xfId="0" applyFont="1" applyFill="1"/>
    <xf numFmtId="0" fontId="3" fillId="0" borderId="0" xfId="0" applyFont="1" applyFill="1" applyAlignment="1"/>
    <xf numFmtId="0" fontId="8" fillId="2" borderId="0" xfId="0" applyFont="1" applyFill="1" applyAlignment="1">
      <alignment horizontal="justify" vertical="top" wrapText="1"/>
    </xf>
    <xf numFmtId="0" fontId="29" fillId="0" borderId="0" xfId="0" applyFont="1"/>
    <xf numFmtId="0" fontId="3" fillId="3" borderId="0" xfId="0" applyFont="1" applyFill="1"/>
    <xf numFmtId="168" fontId="3" fillId="2" borderId="0" xfId="0" applyNumberFormat="1" applyFont="1" applyFill="1" applyAlignment="1">
      <alignment horizontal="right" wrapText="1"/>
    </xf>
    <xf numFmtId="168" fontId="3" fillId="2" borderId="4" xfId="0" applyNumberFormat="1" applyFont="1" applyFill="1" applyBorder="1" applyAlignment="1">
      <alignment horizontal="right" wrapText="1"/>
    </xf>
    <xf numFmtId="168" fontId="3" fillId="2" borderId="0" xfId="0" applyNumberFormat="1" applyFont="1" applyFill="1" applyBorder="1" applyAlignment="1">
      <alignment horizontal="right" wrapText="1"/>
    </xf>
    <xf numFmtId="168" fontId="3" fillId="2" borderId="0" xfId="0" applyNumberFormat="1" applyFont="1" applyFill="1" applyAlignment="1">
      <alignment horizontal="right" vertical="top" wrapText="1"/>
    </xf>
    <xf numFmtId="168" fontId="3" fillId="0" borderId="1" xfId="0" applyNumberFormat="1" applyFont="1" applyBorder="1" applyAlignment="1">
      <alignment horizontal="right" wrapText="1"/>
    </xf>
    <xf numFmtId="0" fontId="56" fillId="2" borderId="0" xfId="0" applyFont="1" applyFill="1"/>
    <xf numFmtId="0" fontId="3" fillId="2" borderId="0" xfId="0" applyFont="1" applyFill="1" applyBorder="1" applyAlignment="1">
      <alignment horizontal="justify"/>
    </xf>
    <xf numFmtId="0" fontId="3" fillId="2" borderId="0" xfId="0" applyFont="1" applyFill="1" applyAlignment="1"/>
    <xf numFmtId="0" fontId="3" fillId="10" borderId="0" xfId="0" applyFont="1" applyFill="1" applyAlignment="1">
      <alignment horizontal="right" vertical="top" wrapText="1"/>
    </xf>
    <xf numFmtId="168" fontId="3" fillId="11" borderId="0" xfId="0" applyNumberFormat="1" applyFont="1" applyFill="1" applyBorder="1" applyAlignment="1">
      <alignment horizontal="right" wrapText="1"/>
    </xf>
    <xf numFmtId="168" fontId="3" fillId="11" borderId="4" xfId="0" applyNumberFormat="1" applyFont="1" applyFill="1" applyBorder="1" applyAlignment="1">
      <alignment horizontal="right" wrapText="1"/>
    </xf>
    <xf numFmtId="168" fontId="10" fillId="11" borderId="0" xfId="0" applyNumberFormat="1" applyFont="1" applyFill="1" applyBorder="1" applyAlignment="1">
      <alignment horizontal="right" wrapText="1"/>
    </xf>
    <xf numFmtId="168" fontId="10" fillId="11" borderId="4" xfId="0" applyNumberFormat="1" applyFont="1" applyFill="1" applyBorder="1" applyAlignment="1">
      <alignment horizontal="right" wrapText="1"/>
    </xf>
    <xf numFmtId="0" fontId="22" fillId="2" borderId="0" xfId="0" applyFont="1" applyFill="1" applyAlignment="1">
      <alignment horizontal="center" vertical="center" wrapText="1"/>
    </xf>
    <xf numFmtId="0" fontId="22" fillId="2" borderId="0" xfId="0" applyFont="1" applyFill="1" applyBorder="1" applyAlignment="1">
      <alignment horizontal="center" vertical="center" wrapText="1"/>
    </xf>
    <xf numFmtId="0" fontId="22" fillId="0" borderId="0" xfId="0" applyFont="1" applyAlignment="1">
      <alignment horizontal="center" vertical="center" wrapText="1"/>
    </xf>
    <xf numFmtId="168" fontId="3" fillId="11" borderId="0" xfId="0" applyNumberFormat="1" applyFont="1" applyFill="1" applyAlignment="1">
      <alignment horizontal="right" wrapText="1"/>
    </xf>
    <xf numFmtId="168" fontId="3" fillId="11" borderId="0" xfId="0" applyNumberFormat="1" applyFont="1" applyFill="1" applyAlignment="1">
      <alignment horizontal="right" vertical="top" wrapText="1"/>
    </xf>
    <xf numFmtId="0" fontId="3" fillId="0" borderId="0" xfId="0" applyFont="1" applyAlignment="1">
      <alignment vertical="top"/>
    </xf>
    <xf numFmtId="168" fontId="3" fillId="2" borderId="0" xfId="0" applyNumberFormat="1" applyFont="1" applyFill="1" applyAlignment="1">
      <alignment horizontal="justify" vertical="top" wrapText="1"/>
    </xf>
    <xf numFmtId="168" fontId="3" fillId="2" borderId="4" xfId="0" applyNumberFormat="1" applyFont="1" applyFill="1" applyBorder="1" applyAlignment="1">
      <alignment horizontal="right" vertical="top" wrapText="1"/>
    </xf>
    <xf numFmtId="168" fontId="10" fillId="2" borderId="4" xfId="0" applyNumberFormat="1" applyFont="1" applyFill="1" applyBorder="1" applyAlignment="1">
      <alignment horizontal="justify" vertical="top" wrapText="1"/>
    </xf>
    <xf numFmtId="168" fontId="10" fillId="2" borderId="4" xfId="0" applyNumberFormat="1" applyFont="1" applyFill="1" applyBorder="1" applyAlignment="1">
      <alignment horizontal="right" vertical="top" wrapText="1"/>
    </xf>
    <xf numFmtId="0" fontId="56" fillId="2" borderId="0" xfId="0" applyFont="1" applyFill="1" applyAlignment="1">
      <alignment vertical="top"/>
    </xf>
    <xf numFmtId="0" fontId="3" fillId="5" borderId="0" xfId="0" applyFont="1" applyFill="1" applyAlignment="1">
      <alignment horizontal="justify" vertical="top" wrapText="1"/>
    </xf>
    <xf numFmtId="0" fontId="3" fillId="5" borderId="0" xfId="0" applyFont="1" applyFill="1" applyBorder="1" applyAlignment="1">
      <alignment horizontal="justify" vertical="top" wrapText="1"/>
    </xf>
    <xf numFmtId="3" fontId="3" fillId="2" borderId="0" xfId="0" applyNumberFormat="1" applyFont="1" applyFill="1" applyBorder="1" applyAlignment="1">
      <alignment vertical="top"/>
    </xf>
    <xf numFmtId="0" fontId="3" fillId="0" borderId="0" xfId="0" applyFont="1" applyBorder="1" applyAlignment="1">
      <alignment vertical="top" wrapText="1"/>
    </xf>
    <xf numFmtId="0" fontId="10" fillId="0" borderId="0" xfId="0" applyFont="1" applyBorder="1" applyAlignment="1">
      <alignment vertical="top" wrapText="1"/>
    </xf>
    <xf numFmtId="0" fontId="3" fillId="5" borderId="0" xfId="0" applyFont="1" applyFill="1" applyBorder="1" applyAlignment="1">
      <alignment horizontal="right" vertical="top" wrapText="1"/>
    </xf>
    <xf numFmtId="0" fontId="3" fillId="0" borderId="0" xfId="0" applyFont="1" applyBorder="1" applyAlignment="1">
      <alignment horizontal="right" vertical="top" wrapText="1"/>
    </xf>
    <xf numFmtId="0" fontId="3" fillId="2" borderId="0" xfId="0" applyFont="1" applyFill="1" applyBorder="1" applyAlignment="1">
      <alignment horizontal="justify" vertical="top"/>
    </xf>
    <xf numFmtId="0" fontId="3" fillId="0" borderId="0" xfId="0" applyFont="1" applyBorder="1" applyAlignment="1">
      <alignment vertical="top"/>
    </xf>
    <xf numFmtId="0" fontId="3" fillId="0" borderId="0" xfId="0" applyFont="1" applyFill="1" applyBorder="1" applyAlignment="1">
      <alignment horizontal="right" vertical="top" wrapText="1"/>
    </xf>
    <xf numFmtId="168" fontId="3" fillId="11" borderId="4" xfId="0" applyNumberFormat="1" applyFont="1" applyFill="1" applyBorder="1" applyAlignment="1">
      <alignment horizontal="right" vertical="top" wrapText="1"/>
    </xf>
    <xf numFmtId="168" fontId="10" fillId="11" borderId="4" xfId="0" applyNumberFormat="1" applyFont="1" applyFill="1" applyBorder="1" applyAlignment="1">
      <alignment horizontal="right" vertical="top" wrapText="1"/>
    </xf>
    <xf numFmtId="0" fontId="14" fillId="10" borderId="0" xfId="0" applyFont="1" applyFill="1" applyAlignment="1">
      <alignment horizontal="justify" vertical="top" wrapText="1"/>
    </xf>
    <xf numFmtId="168" fontId="22" fillId="2" borderId="0" xfId="0" applyNumberFormat="1" applyFont="1" applyFill="1" applyAlignment="1">
      <alignment horizontal="center" vertical="center" wrapText="1"/>
    </xf>
    <xf numFmtId="168" fontId="22" fillId="0" borderId="0" xfId="0" applyNumberFormat="1" applyFont="1" applyAlignment="1">
      <alignment horizontal="center" vertical="center" wrapText="1"/>
    </xf>
    <xf numFmtId="168" fontId="3" fillId="0" borderId="0" xfId="0" applyNumberFormat="1" applyFont="1" applyAlignment="1">
      <alignment vertical="top"/>
    </xf>
    <xf numFmtId="170" fontId="3" fillId="5" borderId="0" xfId="0" applyNumberFormat="1" applyFont="1" applyFill="1" applyAlignment="1">
      <alignment horizontal="right" vertical="top" wrapText="1"/>
    </xf>
    <xf numFmtId="170" fontId="3" fillId="0" borderId="0" xfId="0" applyNumberFormat="1" applyFont="1" applyAlignment="1">
      <alignment horizontal="right" vertical="top" wrapText="1"/>
    </xf>
    <xf numFmtId="170" fontId="3" fillId="0" borderId="4" xfId="0" applyNumberFormat="1" applyFont="1" applyBorder="1" applyAlignment="1">
      <alignment horizontal="right" vertical="top" wrapText="1"/>
    </xf>
    <xf numFmtId="170" fontId="3" fillId="5" borderId="0" xfId="0" applyNumberFormat="1" applyFont="1" applyFill="1" applyBorder="1" applyAlignment="1">
      <alignment horizontal="right" vertical="top" wrapText="1"/>
    </xf>
    <xf numFmtId="170" fontId="3" fillId="0" borderId="0" xfId="0" applyNumberFormat="1" applyFont="1" applyFill="1" applyBorder="1" applyAlignment="1">
      <alignment vertical="top"/>
    </xf>
    <xf numFmtId="170" fontId="3" fillId="11" borderId="0" xfId="0" applyNumberFormat="1" applyFont="1" applyFill="1" applyAlignment="1">
      <alignment horizontal="right" vertical="top" wrapText="1"/>
    </xf>
    <xf numFmtId="170" fontId="3" fillId="11" borderId="4" xfId="0" applyNumberFormat="1" applyFont="1" applyFill="1" applyBorder="1" applyAlignment="1">
      <alignment horizontal="right" vertical="top" wrapText="1"/>
    </xf>
    <xf numFmtId="170" fontId="3" fillId="11" borderId="0" xfId="0" applyNumberFormat="1" applyFont="1" applyFill="1" applyBorder="1" applyAlignment="1">
      <alignment horizontal="right" vertical="top" wrapText="1"/>
    </xf>
    <xf numFmtId="170" fontId="3" fillId="11" borderId="20" xfId="0" applyNumberFormat="1" applyFont="1" applyFill="1" applyBorder="1" applyAlignment="1">
      <alignment horizontal="right" vertical="top" wrapText="1"/>
    </xf>
    <xf numFmtId="170" fontId="3" fillId="0" borderId="0" xfId="0" applyNumberFormat="1" applyFont="1" applyFill="1" applyAlignment="1">
      <alignment horizontal="right" vertical="top" wrapText="1"/>
    </xf>
    <xf numFmtId="170" fontId="3" fillId="0" borderId="0" xfId="0" applyNumberFormat="1" applyFont="1" applyFill="1" applyBorder="1" applyAlignment="1">
      <alignment horizontal="right" vertical="top" wrapText="1"/>
    </xf>
    <xf numFmtId="170" fontId="3" fillId="0" borderId="4" xfId="0" applyNumberFormat="1" applyFont="1" applyFill="1" applyBorder="1" applyAlignment="1">
      <alignment horizontal="right" vertical="top" wrapText="1"/>
    </xf>
    <xf numFmtId="171" fontId="3" fillId="0" borderId="0" xfId="0" applyNumberFormat="1" applyFont="1" applyFill="1" applyBorder="1" applyAlignment="1">
      <alignment horizontal="right" vertical="top" wrapText="1"/>
    </xf>
    <xf numFmtId="171" fontId="3" fillId="11" borderId="0" xfId="0" applyNumberFormat="1" applyFont="1" applyFill="1" applyAlignment="1">
      <alignment horizontal="right" vertical="top" wrapText="1"/>
    </xf>
    <xf numFmtId="171" fontId="3" fillId="11" borderId="4" xfId="0" applyNumberFormat="1" applyFont="1" applyFill="1" applyBorder="1" applyAlignment="1">
      <alignment horizontal="right" vertical="top" wrapText="1"/>
    </xf>
    <xf numFmtId="171" fontId="3" fillId="11" borderId="0" xfId="0" applyNumberFormat="1" applyFont="1" applyFill="1" applyBorder="1" applyAlignment="1">
      <alignment horizontal="right" vertical="top" wrapText="1"/>
    </xf>
    <xf numFmtId="171" fontId="3" fillId="11" borderId="20" xfId="0" applyNumberFormat="1" applyFont="1" applyFill="1" applyBorder="1" applyAlignment="1">
      <alignment horizontal="right" vertical="top" wrapText="1"/>
    </xf>
    <xf numFmtId="171" fontId="3" fillId="0" borderId="4" xfId="0" applyNumberFormat="1" applyFont="1" applyFill="1" applyBorder="1" applyAlignment="1">
      <alignment horizontal="right" vertical="top" wrapText="1"/>
    </xf>
    <xf numFmtId="170" fontId="3" fillId="0" borderId="0" xfId="0" applyNumberFormat="1" applyFont="1" applyBorder="1" applyAlignment="1">
      <alignment horizontal="right" vertical="top" wrapText="1"/>
    </xf>
    <xf numFmtId="170" fontId="3" fillId="5" borderId="4" xfId="0" applyNumberFormat="1" applyFont="1" applyFill="1" applyBorder="1" applyAlignment="1">
      <alignment horizontal="right" vertical="top" wrapText="1"/>
    </xf>
    <xf numFmtId="0" fontId="3" fillId="2" borderId="0" xfId="0" applyFont="1" applyFill="1" applyAlignment="1">
      <alignment horizontal="right" wrapText="1"/>
    </xf>
    <xf numFmtId="0" fontId="3" fillId="2" borderId="0" xfId="0" applyFont="1" applyFill="1" applyAlignment="1">
      <alignment horizontal="right"/>
    </xf>
    <xf numFmtId="3" fontId="3" fillId="2" borderId="0" xfId="0" applyNumberFormat="1" applyFont="1" applyFill="1" applyBorder="1" applyAlignment="1">
      <alignment horizontal="right" wrapText="1"/>
    </xf>
    <xf numFmtId="0" fontId="3" fillId="2" borderId="0" xfId="0" applyFont="1" applyFill="1" applyBorder="1" applyAlignment="1">
      <alignment horizontal="right" wrapText="1"/>
    </xf>
    <xf numFmtId="0" fontId="22" fillId="2" borderId="4" xfId="0" applyFont="1" applyFill="1" applyBorder="1" applyAlignment="1">
      <alignment horizontal="center" vertical="center" wrapText="1"/>
    </xf>
    <xf numFmtId="0" fontId="14" fillId="10" borderId="0" xfId="0" applyFont="1" applyFill="1" applyAlignment="1">
      <alignment horizontal="center" wrapText="1"/>
    </xf>
    <xf numFmtId="168" fontId="10" fillId="11" borderId="0" xfId="0" applyNumberFormat="1" applyFont="1" applyFill="1" applyAlignment="1">
      <alignment horizontal="right" wrapText="1"/>
    </xf>
    <xf numFmtId="170" fontId="3" fillId="2" borderId="0" xfId="0" applyNumberFormat="1" applyFont="1" applyFill="1" applyAlignment="1">
      <alignment horizontal="right" wrapText="1"/>
    </xf>
    <xf numFmtId="170" fontId="3" fillId="2" borderId="4" xfId="0" applyNumberFormat="1" applyFont="1" applyFill="1" applyBorder="1" applyAlignment="1">
      <alignment horizontal="right" wrapText="1"/>
    </xf>
    <xf numFmtId="170" fontId="10" fillId="2" borderId="0" xfId="0" applyNumberFormat="1" applyFont="1" applyFill="1" applyAlignment="1">
      <alignment horizontal="right" wrapText="1"/>
    </xf>
    <xf numFmtId="170" fontId="10" fillId="2" borderId="4" xfId="0" applyNumberFormat="1" applyFont="1" applyFill="1" applyBorder="1" applyAlignment="1">
      <alignment horizontal="right" wrapText="1"/>
    </xf>
    <xf numFmtId="170" fontId="10" fillId="11" borderId="4" xfId="0" applyNumberFormat="1" applyFont="1" applyFill="1" applyBorder="1" applyAlignment="1">
      <alignment horizontal="right" wrapText="1"/>
    </xf>
    <xf numFmtId="170" fontId="10" fillId="2" borderId="1" xfId="0" applyNumberFormat="1" applyFont="1" applyFill="1" applyBorder="1" applyAlignment="1">
      <alignment horizontal="right" wrapText="1"/>
    </xf>
    <xf numFmtId="170" fontId="3" fillId="2" borderId="1" xfId="0" applyNumberFormat="1" applyFont="1" applyFill="1" applyBorder="1" applyAlignment="1">
      <alignment horizontal="right" wrapText="1"/>
    </xf>
    <xf numFmtId="0" fontId="22" fillId="2" borderId="0" xfId="0" applyFont="1" applyFill="1" applyAlignment="1">
      <alignment horizontal="center" wrapText="1"/>
    </xf>
    <xf numFmtId="0" fontId="22" fillId="2" borderId="4" xfId="0" applyFont="1" applyFill="1" applyBorder="1" applyAlignment="1">
      <alignment horizontal="center" wrapText="1"/>
    </xf>
    <xf numFmtId="170" fontId="3" fillId="0" borderId="0" xfId="0" applyNumberFormat="1" applyFont="1" applyAlignment="1"/>
    <xf numFmtId="168" fontId="3" fillId="0" borderId="0" xfId="0" applyNumberFormat="1" applyFont="1" applyAlignment="1"/>
    <xf numFmtId="0" fontId="14" fillId="2" borderId="0" xfId="0" applyFont="1" applyFill="1" applyBorder="1" applyAlignment="1">
      <alignment horizontal="justify" wrapText="1"/>
    </xf>
    <xf numFmtId="0" fontId="14" fillId="2" borderId="0" xfId="0" applyFont="1" applyFill="1" applyBorder="1" applyAlignment="1">
      <alignment horizontal="right" wrapText="1"/>
    </xf>
    <xf numFmtId="0" fontId="3" fillId="2" borderId="0" xfId="0" applyFont="1" applyFill="1" applyBorder="1" applyAlignment="1"/>
    <xf numFmtId="0" fontId="17" fillId="10" borderId="0" xfId="0" applyFont="1" applyFill="1" applyAlignment="1">
      <alignment wrapText="1"/>
    </xf>
    <xf numFmtId="170" fontId="3" fillId="2" borderId="0" xfId="0" applyNumberFormat="1" applyFont="1" applyFill="1" applyBorder="1" applyAlignment="1">
      <alignment horizontal="right" wrapText="1"/>
    </xf>
    <xf numFmtId="0" fontId="57" fillId="0" borderId="0" xfId="0" applyFont="1" applyFill="1" applyBorder="1" applyAlignment="1">
      <alignment vertical="top"/>
    </xf>
    <xf numFmtId="0" fontId="13" fillId="0" borderId="0" xfId="0" applyFont="1" applyFill="1" applyBorder="1" applyAlignment="1">
      <alignment vertical="top"/>
    </xf>
    <xf numFmtId="165" fontId="13" fillId="0" borderId="0" xfId="1" applyNumberFormat="1" applyFont="1" applyFill="1" applyBorder="1" applyAlignment="1">
      <alignment vertical="top"/>
    </xf>
    <xf numFmtId="3" fontId="13" fillId="0" borderId="0" xfId="0" applyNumberFormat="1" applyFont="1" applyFill="1" applyBorder="1" applyAlignment="1">
      <alignment vertical="top"/>
    </xf>
    <xf numFmtId="0" fontId="17" fillId="10" borderId="0" xfId="0" applyFont="1" applyFill="1" applyAlignment="1">
      <alignment vertical="top" wrapText="1"/>
    </xf>
    <xf numFmtId="0" fontId="3" fillId="11" borderId="0" xfId="0" applyFont="1" applyFill="1" applyAlignment="1">
      <alignment horizontal="right" vertical="top" wrapText="1"/>
    </xf>
    <xf numFmtId="170" fontId="3" fillId="2" borderId="0" xfId="0" applyNumberFormat="1" applyFont="1" applyFill="1" applyBorder="1" applyAlignment="1">
      <alignment vertical="top"/>
    </xf>
    <xf numFmtId="170" fontId="3" fillId="0" borderId="5" xfId="0" applyNumberFormat="1" applyFont="1" applyBorder="1" applyAlignment="1">
      <alignment horizontal="right" vertical="top" wrapText="1"/>
    </xf>
    <xf numFmtId="170" fontId="3" fillId="0" borderId="0" xfId="1" applyNumberFormat="1" applyFont="1" applyAlignment="1">
      <alignment horizontal="right" vertical="top" wrapText="1"/>
    </xf>
    <xf numFmtId="170" fontId="3" fillId="11" borderId="5" xfId="0" applyNumberFormat="1" applyFont="1" applyFill="1" applyBorder="1" applyAlignment="1">
      <alignment horizontal="right" vertical="top" wrapText="1"/>
    </xf>
    <xf numFmtId="170" fontId="3" fillId="0" borderId="0" xfId="0" applyNumberFormat="1" applyFont="1" applyBorder="1" applyAlignment="1">
      <alignment horizontal="justify" vertical="top" wrapText="1"/>
    </xf>
    <xf numFmtId="170" fontId="3" fillId="11" borderId="0" xfId="0" applyNumberFormat="1" applyFont="1" applyFill="1" applyBorder="1" applyAlignment="1">
      <alignment horizontal="justify" vertical="top" wrapText="1"/>
    </xf>
    <xf numFmtId="170" fontId="3" fillId="0" borderId="0" xfId="0" applyNumberFormat="1" applyFont="1" applyAlignment="1">
      <alignment horizontal="justify" vertical="top" wrapText="1"/>
    </xf>
    <xf numFmtId="170" fontId="3" fillId="11" borderId="0" xfId="0" applyNumberFormat="1" applyFont="1" applyFill="1" applyAlignment="1">
      <alignment horizontal="justify" vertical="top" wrapText="1"/>
    </xf>
    <xf numFmtId="170" fontId="38" fillId="0" borderId="0" xfId="0" applyNumberFormat="1" applyFont="1" applyAlignment="1">
      <alignment horizontal="right" vertical="top" wrapText="1"/>
    </xf>
    <xf numFmtId="170" fontId="38" fillId="0" borderId="4" xfId="0" applyNumberFormat="1" applyFont="1" applyBorder="1" applyAlignment="1">
      <alignment horizontal="right" vertical="top" wrapText="1"/>
    </xf>
    <xf numFmtId="170" fontId="10" fillId="0" borderId="4" xfId="0" applyNumberFormat="1" applyFont="1" applyBorder="1" applyAlignment="1">
      <alignment horizontal="right" vertical="top" wrapText="1"/>
    </xf>
    <xf numFmtId="170" fontId="10" fillId="0" borderId="0" xfId="0" applyNumberFormat="1" applyFont="1" applyBorder="1" applyAlignment="1">
      <alignment horizontal="right" vertical="top" wrapText="1"/>
    </xf>
    <xf numFmtId="170" fontId="38" fillId="0" borderId="0" xfId="0" applyNumberFormat="1" applyFont="1" applyBorder="1" applyAlignment="1">
      <alignment vertical="top" wrapText="1"/>
    </xf>
    <xf numFmtId="170" fontId="38" fillId="0" borderId="0" xfId="0" applyNumberFormat="1" applyFont="1" applyAlignment="1">
      <alignment vertical="top" wrapText="1"/>
    </xf>
    <xf numFmtId="0" fontId="3" fillId="2" borderId="0" xfId="0" applyFont="1" applyFill="1" applyAlignment="1">
      <alignment horizontal="center"/>
    </xf>
    <xf numFmtId="0" fontId="3" fillId="2" borderId="4" xfId="0" applyFont="1" applyFill="1" applyBorder="1" applyAlignment="1">
      <alignment horizontal="center"/>
    </xf>
    <xf numFmtId="0" fontId="3" fillId="2" borderId="4" xfId="0" applyFont="1" applyFill="1" applyBorder="1"/>
    <xf numFmtId="170" fontId="3" fillId="2" borderId="0" xfId="0" applyNumberFormat="1" applyFont="1" applyFill="1"/>
    <xf numFmtId="170" fontId="3" fillId="2" borderId="0" xfId="0" applyNumberFormat="1" applyFont="1" applyFill="1" applyAlignment="1">
      <alignment horizontal="right"/>
    </xf>
    <xf numFmtId="170" fontId="3" fillId="2" borderId="4" xfId="0" applyNumberFormat="1" applyFont="1" applyFill="1" applyBorder="1" applyAlignment="1">
      <alignment horizontal="right"/>
    </xf>
    <xf numFmtId="170" fontId="10" fillId="2" borderId="0" xfId="0" applyNumberFormat="1" applyFont="1" applyFill="1" applyAlignment="1">
      <alignment horizontal="right"/>
    </xf>
    <xf numFmtId="170" fontId="10" fillId="2" borderId="4" xfId="0" applyNumberFormat="1" applyFont="1" applyFill="1" applyBorder="1" applyAlignment="1">
      <alignment horizontal="right"/>
    </xf>
    <xf numFmtId="0" fontId="22" fillId="2" borderId="0" xfId="0" applyFont="1" applyFill="1" applyAlignment="1">
      <alignment horizontal="center" vertical="center"/>
    </xf>
    <xf numFmtId="0" fontId="32" fillId="2" borderId="0" xfId="0" applyFont="1" applyFill="1" applyAlignment="1">
      <alignment horizontal="center" vertical="center"/>
    </xf>
    <xf numFmtId="170" fontId="3" fillId="2" borderId="0" xfId="0" applyNumberFormat="1" applyFont="1" applyFill="1" applyAlignment="1"/>
    <xf numFmtId="170" fontId="3" fillId="2" borderId="0" xfId="0" applyNumberFormat="1" applyFont="1" applyFill="1" applyBorder="1" applyAlignment="1">
      <alignment horizontal="right"/>
    </xf>
    <xf numFmtId="170" fontId="10" fillId="2" borderId="4" xfId="0" applyNumberFormat="1" applyFont="1" applyFill="1" applyBorder="1" applyAlignment="1"/>
    <xf numFmtId="170" fontId="3" fillId="2" borderId="4" xfId="0" applyNumberFormat="1" applyFont="1" applyFill="1" applyBorder="1" applyAlignment="1"/>
    <xf numFmtId="0" fontId="55" fillId="2" borderId="0" xfId="0" applyFont="1" applyFill="1" applyAlignment="1">
      <alignment vertical="top"/>
    </xf>
    <xf numFmtId="0" fontId="3" fillId="2" borderId="4" xfId="0" applyFont="1" applyFill="1" applyBorder="1" applyAlignment="1">
      <alignment vertical="top"/>
    </xf>
    <xf numFmtId="0" fontId="22" fillId="2" borderId="0" xfId="0" applyFont="1" applyFill="1" applyAlignment="1">
      <alignment vertical="top"/>
    </xf>
    <xf numFmtId="165" fontId="3" fillId="2" borderId="0" xfId="1" applyNumberFormat="1" applyFont="1" applyFill="1" applyBorder="1" applyAlignment="1">
      <alignment vertical="top"/>
    </xf>
    <xf numFmtId="167" fontId="3" fillId="0" borderId="0" xfId="0" applyNumberFormat="1" applyFont="1" applyFill="1" applyAlignment="1">
      <alignment horizontal="center" vertical="top" wrapText="1"/>
    </xf>
    <xf numFmtId="6" fontId="3" fillId="2" borderId="0" xfId="0" applyNumberFormat="1" applyFont="1" applyFill="1" applyAlignment="1">
      <alignment horizontal="center" vertical="top" wrapText="1"/>
    </xf>
    <xf numFmtId="6" fontId="3" fillId="2" borderId="0" xfId="0" applyNumberFormat="1" applyFont="1" applyFill="1" applyBorder="1" applyAlignment="1">
      <alignment horizontal="center" vertical="top" wrapText="1"/>
    </xf>
    <xf numFmtId="166" fontId="3" fillId="0" borderId="0" xfId="0" applyNumberFormat="1" applyFont="1" applyFill="1" applyBorder="1" applyAlignment="1">
      <alignment horizontal="center" vertical="top" wrapText="1"/>
    </xf>
    <xf numFmtId="0" fontId="3" fillId="11" borderId="0" xfId="0" applyFont="1" applyFill="1" applyAlignment="1">
      <alignment horizontal="center" vertical="top" wrapText="1"/>
    </xf>
    <xf numFmtId="2" fontId="3" fillId="11" borderId="0" xfId="0" applyNumberFormat="1" applyFont="1" applyFill="1" applyAlignment="1">
      <alignment horizontal="center" vertical="center" wrapText="1"/>
    </xf>
    <xf numFmtId="3" fontId="3" fillId="11" borderId="0" xfId="0" applyNumberFormat="1" applyFont="1" applyFill="1" applyAlignment="1">
      <alignment horizontal="center" vertical="center" wrapText="1"/>
    </xf>
    <xf numFmtId="6" fontId="3" fillId="2" borderId="4" xfId="0" applyNumberFormat="1" applyFont="1" applyFill="1" applyBorder="1" applyAlignment="1">
      <alignment horizontal="center" vertical="top" wrapText="1"/>
    </xf>
    <xf numFmtId="165" fontId="3" fillId="2" borderId="4" xfId="1" applyNumberFormat="1" applyFont="1" applyFill="1" applyBorder="1" applyAlignment="1">
      <alignment vertical="top"/>
    </xf>
    <xf numFmtId="167" fontId="3" fillId="0" borderId="4" xfId="0" applyNumberFormat="1" applyFont="1" applyFill="1" applyBorder="1" applyAlignment="1">
      <alignment horizontal="center" vertical="top" wrapText="1"/>
    </xf>
    <xf numFmtId="169" fontId="3" fillId="11" borderId="0" xfId="0" applyNumberFormat="1" applyFont="1" applyFill="1" applyAlignment="1">
      <alignment horizontal="center" vertical="top" wrapText="1"/>
    </xf>
    <xf numFmtId="166" fontId="3" fillId="11" borderId="0" xfId="0" applyNumberFormat="1" applyFont="1" applyFill="1" applyAlignment="1">
      <alignment horizontal="center" vertical="top" wrapText="1"/>
    </xf>
    <xf numFmtId="166" fontId="3" fillId="11" borderId="4" xfId="0" applyNumberFormat="1" applyFont="1" applyFill="1" applyBorder="1" applyAlignment="1">
      <alignment horizontal="center" vertical="top" wrapText="1"/>
    </xf>
    <xf numFmtId="0" fontId="58" fillId="2" borderId="0" xfId="0" applyFont="1" applyFill="1"/>
    <xf numFmtId="0" fontId="51" fillId="0" borderId="0" xfId="0" applyFont="1" applyAlignment="1">
      <alignment horizontal="justify" vertical="top"/>
    </xf>
    <xf numFmtId="0" fontId="3" fillId="3" borderId="0" xfId="0" applyFont="1" applyFill="1" applyAlignment="1">
      <alignment vertical="top"/>
    </xf>
    <xf numFmtId="0" fontId="3" fillId="0" borderId="0" xfId="0" applyFont="1" applyAlignment="1">
      <alignment horizontal="center" vertical="top"/>
    </xf>
    <xf numFmtId="0" fontId="13" fillId="0" borderId="0" xfId="0" quotePrefix="1" applyNumberFormat="1" applyFont="1" applyFill="1" applyBorder="1" applyAlignment="1">
      <alignment vertical="top"/>
    </xf>
    <xf numFmtId="1" fontId="13" fillId="0" borderId="0" xfId="2" quotePrefix="1" applyNumberFormat="1" applyFont="1" applyFill="1" applyBorder="1" applyAlignment="1">
      <alignment vertical="top"/>
    </xf>
    <xf numFmtId="0" fontId="3" fillId="11" borderId="0" xfId="0" applyNumberFormat="1" applyFont="1" applyFill="1" applyAlignment="1">
      <alignment horizontal="center" vertical="top" wrapText="1"/>
    </xf>
    <xf numFmtId="170" fontId="3" fillId="2" borderId="0" xfId="0" applyNumberFormat="1" applyFont="1" applyFill="1" applyAlignment="1">
      <alignment horizontal="center" vertical="top"/>
    </xf>
    <xf numFmtId="170" fontId="3" fillId="11" borderId="0" xfId="0" applyNumberFormat="1" applyFont="1" applyFill="1" applyAlignment="1">
      <alignment horizontal="center" vertical="top" wrapText="1"/>
    </xf>
    <xf numFmtId="170" fontId="3" fillId="2" borderId="4" xfId="0" applyNumberFormat="1" applyFont="1" applyFill="1" applyBorder="1" applyAlignment="1">
      <alignment horizontal="center" vertical="top"/>
    </xf>
    <xf numFmtId="0" fontId="3" fillId="10" borderId="0" xfId="0" applyFont="1" applyFill="1" applyAlignment="1">
      <alignment horizontal="justify" vertical="top"/>
    </xf>
    <xf numFmtId="0" fontId="3" fillId="10" borderId="0" xfId="0" applyFont="1" applyFill="1" applyAlignment="1">
      <alignment vertical="top"/>
    </xf>
    <xf numFmtId="170" fontId="3" fillId="0" borderId="0" xfId="0" applyNumberFormat="1" applyFont="1" applyFill="1" applyBorder="1" applyAlignment="1">
      <alignment horizontal="center" vertical="center" wrapText="1"/>
    </xf>
    <xf numFmtId="170" fontId="3" fillId="11" borderId="0" xfId="0" applyNumberFormat="1" applyFont="1" applyFill="1" applyBorder="1" applyAlignment="1">
      <alignment horizontal="center" vertical="center" wrapText="1"/>
    </xf>
    <xf numFmtId="170" fontId="3" fillId="0" borderId="4" xfId="0" applyNumberFormat="1" applyFont="1" applyFill="1" applyBorder="1" applyAlignment="1">
      <alignment horizontal="center" vertical="center" wrapText="1"/>
    </xf>
    <xf numFmtId="0" fontId="14" fillId="10" borderId="0" xfId="0" applyFont="1" applyFill="1" applyBorder="1" applyAlignment="1">
      <alignment horizontal="center" vertical="top" wrapText="1"/>
    </xf>
    <xf numFmtId="168" fontId="3" fillId="2" borderId="0" xfId="0" applyNumberFormat="1" applyFont="1" applyFill="1" applyBorder="1" applyAlignment="1">
      <alignment horizontal="center" vertical="top" wrapText="1"/>
    </xf>
    <xf numFmtId="168" fontId="3" fillId="0" borderId="0" xfId="0" applyNumberFormat="1" applyFont="1" applyBorder="1" applyAlignment="1">
      <alignment horizontal="center" vertical="top" wrapText="1"/>
    </xf>
    <xf numFmtId="0" fontId="3" fillId="11" borderId="0" xfId="0" applyNumberFormat="1" applyFont="1" applyFill="1" applyBorder="1" applyAlignment="1">
      <alignment horizontal="center" vertical="top" wrapText="1"/>
    </xf>
    <xf numFmtId="168" fontId="3" fillId="11" borderId="0" xfId="0" applyNumberFormat="1" applyFont="1" applyFill="1" applyBorder="1" applyAlignment="1">
      <alignment horizontal="center" vertical="top" wrapText="1"/>
    </xf>
    <xf numFmtId="0" fontId="59" fillId="2" borderId="0" xfId="0" applyFont="1" applyFill="1" applyAlignment="1">
      <alignment horizontal="center" wrapText="1"/>
    </xf>
    <xf numFmtId="0" fontId="11" fillId="3" borderId="0" xfId="0" applyFont="1" applyFill="1" applyAlignment="1">
      <alignment horizontal="left"/>
    </xf>
    <xf numFmtId="0" fontId="0" fillId="3" borderId="0" xfId="0" applyFill="1" applyAlignment="1">
      <alignment horizontal="left"/>
    </xf>
    <xf numFmtId="0" fontId="0" fillId="0" borderId="0" xfId="0" applyAlignment="1">
      <alignment vertical="top"/>
    </xf>
    <xf numFmtId="0" fontId="3" fillId="2" borderId="0" xfId="0" applyFont="1" applyFill="1" applyAlignment="1">
      <alignment vertical="top" wrapText="1"/>
    </xf>
    <xf numFmtId="0" fontId="3" fillId="2" borderId="0" xfId="0" applyFont="1" applyFill="1" applyAlignment="1">
      <alignment horizontal="justify" vertical="top"/>
    </xf>
    <xf numFmtId="0" fontId="3" fillId="3" borderId="0" xfId="0" applyFont="1" applyFill="1" applyAlignment="1">
      <alignment horizontal="justify" vertical="top"/>
    </xf>
    <xf numFmtId="0" fontId="14" fillId="10" borderId="0" xfId="3" applyFont="1" applyFill="1" applyAlignment="1">
      <alignment wrapText="1"/>
    </xf>
    <xf numFmtId="0" fontId="0" fillId="0" borderId="0" xfId="0" applyAlignment="1"/>
    <xf numFmtId="0" fontId="0" fillId="0" borderId="0" xfId="0" applyAlignment="1">
      <alignment vertical="top"/>
    </xf>
    <xf numFmtId="0" fontId="3" fillId="2" borderId="0" xfId="0" applyFont="1" applyFill="1" applyBorder="1" applyAlignment="1">
      <alignment vertical="top" wrapText="1"/>
    </xf>
    <xf numFmtId="0" fontId="3" fillId="2" borderId="0" xfId="0" applyFont="1" applyFill="1" applyBorder="1" applyAlignment="1">
      <alignment horizontal="justify" vertical="top" wrapText="1"/>
    </xf>
    <xf numFmtId="0" fontId="3" fillId="0" borderId="0" xfId="0" applyFont="1" applyAlignment="1">
      <alignment vertical="top"/>
    </xf>
    <xf numFmtId="0" fontId="3" fillId="2" borderId="0" xfId="0" applyFont="1" applyFill="1" applyBorder="1" applyAlignment="1">
      <alignment horizontal="left" vertical="top" wrapText="1"/>
    </xf>
    <xf numFmtId="0" fontId="3" fillId="2" borderId="0" xfId="0" applyFont="1" applyFill="1" applyAlignment="1">
      <alignment vertical="top" wrapText="1"/>
    </xf>
    <xf numFmtId="0" fontId="3" fillId="2" borderId="0" xfId="0" applyFont="1" applyFill="1" applyAlignment="1">
      <alignment vertical="center" wrapText="1"/>
    </xf>
    <xf numFmtId="0" fontId="10" fillId="11" borderId="0" xfId="0" applyFont="1" applyFill="1" applyAlignment="1">
      <alignment horizontal="left" vertical="center" wrapText="1"/>
    </xf>
    <xf numFmtId="3" fontId="22" fillId="11" borderId="0" xfId="0" applyNumberFormat="1" applyFont="1" applyFill="1" applyBorder="1" applyAlignment="1">
      <alignment horizontal="right" vertical="top" wrapText="1"/>
    </xf>
    <xf numFmtId="0" fontId="3" fillId="11" borderId="0" xfId="0" applyFont="1" applyFill="1" applyAlignment="1">
      <alignment horizontal="left" vertical="center"/>
    </xf>
    <xf numFmtId="0" fontId="10" fillId="11" borderId="0" xfId="0" applyFont="1" applyFill="1" applyAlignment="1">
      <alignment horizontal="left" vertical="center"/>
    </xf>
    <xf numFmtId="170" fontId="10" fillId="5" borderId="9" xfId="0" applyNumberFormat="1" applyFont="1" applyFill="1" applyBorder="1" applyAlignment="1">
      <alignment horizontal="right" vertical="center" wrapText="1"/>
    </xf>
    <xf numFmtId="170" fontId="23" fillId="5" borderId="0" xfId="0" applyNumberFormat="1" applyFont="1" applyFill="1" applyAlignment="1">
      <alignment wrapText="1"/>
    </xf>
    <xf numFmtId="170" fontId="10" fillId="11" borderId="0" xfId="0" applyNumberFormat="1" applyFont="1" applyFill="1" applyAlignment="1">
      <alignment vertical="center" wrapText="1"/>
    </xf>
    <xf numFmtId="170" fontId="3" fillId="11" borderId="7" xfId="0" applyNumberFormat="1" applyFont="1" applyFill="1" applyBorder="1" applyAlignment="1">
      <alignment horizontal="right" vertical="center" wrapText="1"/>
    </xf>
    <xf numFmtId="0" fontId="10" fillId="11" borderId="4" xfId="0" applyFont="1" applyFill="1" applyBorder="1" applyAlignment="1">
      <alignment horizontal="right" vertical="top" wrapText="1"/>
    </xf>
    <xf numFmtId="3" fontId="10" fillId="11" borderId="0" xfId="0" applyNumberFormat="1" applyFont="1" applyFill="1" applyAlignment="1">
      <alignment horizontal="right" vertical="top" wrapText="1"/>
    </xf>
    <xf numFmtId="3" fontId="10" fillId="11" borderId="5" xfId="0" applyNumberFormat="1" applyFont="1" applyFill="1" applyBorder="1" applyAlignment="1">
      <alignment horizontal="right" vertical="top" wrapText="1"/>
    </xf>
    <xf numFmtId="3" fontId="10" fillId="11" borderId="4" xfId="0" applyNumberFormat="1" applyFont="1" applyFill="1" applyBorder="1" applyAlignment="1">
      <alignment horizontal="right" vertical="top" wrapText="1"/>
    </xf>
    <xf numFmtId="3" fontId="10" fillId="11" borderId="0" xfId="0" applyNumberFormat="1" applyFont="1" applyFill="1" applyAlignment="1">
      <alignment horizontal="right" vertical="center" wrapText="1"/>
    </xf>
    <xf numFmtId="3" fontId="10" fillId="11" borderId="4" xfId="0" applyNumberFormat="1" applyFont="1" applyFill="1" applyBorder="1" applyAlignment="1">
      <alignment horizontal="right" vertical="center" wrapText="1"/>
    </xf>
    <xf numFmtId="0" fontId="10" fillId="11" borderId="4" xfId="0" applyFont="1" applyFill="1" applyBorder="1" applyAlignment="1">
      <alignment horizontal="right" vertical="center" wrapText="1"/>
    </xf>
    <xf numFmtId="0" fontId="10" fillId="0" borderId="0" xfId="0" applyFont="1" applyAlignment="1">
      <alignment vertical="center" wrapText="1"/>
    </xf>
    <xf numFmtId="0" fontId="10" fillId="2" borderId="0" xfId="0" applyFont="1" applyFill="1" applyAlignment="1">
      <alignment horizontal="justify" vertical="top" wrapText="1"/>
    </xf>
    <xf numFmtId="165" fontId="0" fillId="0" borderId="0" xfId="1" applyNumberFormat="1" applyFont="1" applyAlignment="1">
      <alignment vertical="top"/>
    </xf>
    <xf numFmtId="10" fontId="3" fillId="0" borderId="0" xfId="2" applyNumberFormat="1" applyFont="1" applyAlignment="1">
      <alignment vertical="top"/>
    </xf>
    <xf numFmtId="3" fontId="10" fillId="11" borderId="0" xfId="0" applyNumberFormat="1" applyFont="1" applyFill="1" applyBorder="1" applyAlignment="1">
      <alignment horizontal="right" vertical="center" wrapText="1"/>
    </xf>
    <xf numFmtId="167" fontId="10" fillId="0" borderId="0" xfId="0" applyNumberFormat="1" applyFont="1" applyBorder="1" applyAlignment="1">
      <alignment horizontal="right" vertical="center" wrapText="1"/>
    </xf>
    <xf numFmtId="0" fontId="64" fillId="0" borderId="0" xfId="9" applyFont="1"/>
    <xf numFmtId="0" fontId="1" fillId="0" borderId="0" xfId="9"/>
    <xf numFmtId="0" fontId="65" fillId="0" borderId="0" xfId="9" applyFont="1"/>
    <xf numFmtId="0" fontId="66" fillId="0" borderId="19" xfId="9" applyFont="1" applyBorder="1" applyAlignment="1"/>
    <xf numFmtId="0" fontId="66" fillId="0" borderId="15" xfId="9" applyFont="1" applyBorder="1" applyAlignment="1"/>
    <xf numFmtId="167" fontId="0" fillId="9" borderId="21" xfId="10" applyNumberFormat="1" applyFont="1" applyFill="1" applyBorder="1"/>
    <xf numFmtId="0" fontId="66" fillId="0" borderId="21" xfId="9" applyFont="1" applyBorder="1" applyAlignment="1"/>
    <xf numFmtId="0" fontId="66" fillId="0" borderId="21" xfId="9" applyFont="1" applyBorder="1" applyAlignment="1">
      <alignment horizontal="right"/>
    </xf>
    <xf numFmtId="15" fontId="66" fillId="0" borderId="21" xfId="9" applyNumberFormat="1" applyFont="1" applyBorder="1" applyAlignment="1">
      <alignment horizontal="right" wrapText="1"/>
    </xf>
    <xf numFmtId="0" fontId="66" fillId="0" borderId="0" xfId="9" applyFont="1" applyBorder="1" applyAlignment="1">
      <alignment horizontal="left"/>
    </xf>
    <xf numFmtId="172" fontId="1" fillId="0" borderId="21" xfId="9" applyNumberFormat="1" applyBorder="1"/>
    <xf numFmtId="0" fontId="67" fillId="0" borderId="19" xfId="9" applyFont="1" applyBorder="1" applyAlignment="1"/>
    <xf numFmtId="0" fontId="1" fillId="9" borderId="21" xfId="9" applyFont="1" applyFill="1" applyBorder="1"/>
    <xf numFmtId="173" fontId="62" fillId="0" borderId="21" xfId="11" applyNumberFormat="1" applyFont="1" applyFill="1" applyBorder="1"/>
    <xf numFmtId="174" fontId="1" fillId="0" borderId="21" xfId="9" applyNumberFormat="1" applyBorder="1"/>
    <xf numFmtId="167" fontId="0" fillId="0" borderId="21" xfId="10" applyNumberFormat="1" applyFont="1" applyBorder="1"/>
    <xf numFmtId="172" fontId="1" fillId="15" borderId="21" xfId="12" applyNumberFormat="1" applyFont="1" applyFill="1" applyBorder="1"/>
    <xf numFmtId="0" fontId="66" fillId="0" borderId="0" xfId="9" applyFont="1" applyBorder="1" applyAlignment="1"/>
    <xf numFmtId="172" fontId="1" fillId="0" borderId="0" xfId="9" applyNumberFormat="1" applyBorder="1" applyAlignment="1">
      <alignment horizontal="right"/>
    </xf>
    <xf numFmtId="165" fontId="0" fillId="0" borderId="0" xfId="11" applyNumberFormat="1" applyFont="1"/>
    <xf numFmtId="165" fontId="1" fillId="0" borderId="0" xfId="9" applyNumberFormat="1"/>
    <xf numFmtId="15" fontId="66" fillId="0" borderId="21" xfId="9" applyNumberFormat="1" applyFont="1" applyBorder="1" applyAlignment="1">
      <alignment horizontal="right"/>
    </xf>
    <xf numFmtId="44" fontId="1" fillId="0" borderId="0" xfId="9" applyNumberFormat="1"/>
    <xf numFmtId="0" fontId="66" fillId="0" borderId="21" xfId="9" applyFont="1" applyBorder="1"/>
    <xf numFmtId="165" fontId="1" fillId="16" borderId="21" xfId="9" applyNumberFormat="1" applyFill="1" applyBorder="1"/>
    <xf numFmtId="44" fontId="1" fillId="9" borderId="21" xfId="9" applyNumberFormat="1" applyFont="1" applyFill="1" applyBorder="1"/>
    <xf numFmtId="44" fontId="62" fillId="0" borderId="21" xfId="9" applyNumberFormat="1" applyFont="1" applyFill="1" applyBorder="1"/>
    <xf numFmtId="44" fontId="1" fillId="0" borderId="21" xfId="9" applyNumberFormat="1" applyBorder="1"/>
    <xf numFmtId="10" fontId="0" fillId="0" borderId="21" xfId="10" applyNumberFormat="1" applyFont="1" applyBorder="1"/>
    <xf numFmtId="0" fontId="66" fillId="0" borderId="0" xfId="9" applyFont="1" applyBorder="1"/>
    <xf numFmtId="165" fontId="1" fillId="0" borderId="0" xfId="9" applyNumberFormat="1" applyBorder="1"/>
    <xf numFmtId="0" fontId="63" fillId="0" borderId="19" xfId="9" applyFont="1" applyBorder="1" applyAlignment="1"/>
    <xf numFmtId="44" fontId="0" fillId="0" borderId="21" xfId="12" applyFont="1" applyBorder="1"/>
    <xf numFmtId="0" fontId="68" fillId="0" borderId="19" xfId="9" applyFont="1" applyBorder="1" applyAlignment="1">
      <alignment horizontal="right"/>
    </xf>
    <xf numFmtId="44" fontId="63" fillId="0" borderId="21" xfId="9" applyNumberFormat="1" applyFont="1" applyBorder="1"/>
    <xf numFmtId="10" fontId="63" fillId="0" borderId="21" xfId="9" applyNumberFormat="1" applyFont="1" applyBorder="1"/>
    <xf numFmtId="44" fontId="1" fillId="0" borderId="0" xfId="9" applyNumberFormat="1" applyFont="1" applyBorder="1"/>
    <xf numFmtId="167" fontId="1" fillId="0" borderId="0" xfId="10" applyNumberFormat="1" applyFont="1" applyBorder="1"/>
    <xf numFmtId="167" fontId="1" fillId="0" borderId="21" xfId="9" applyNumberFormat="1" applyBorder="1"/>
    <xf numFmtId="167" fontId="1" fillId="0" borderId="0" xfId="9" applyNumberFormat="1" applyBorder="1"/>
    <xf numFmtId="0" fontId="1" fillId="0" borderId="21" xfId="9" applyBorder="1"/>
    <xf numFmtId="165" fontId="1" fillId="9" borderId="21" xfId="9" applyNumberFormat="1" applyFont="1" applyFill="1" applyBorder="1"/>
    <xf numFmtId="165" fontId="1" fillId="9" borderId="21" xfId="11" applyNumberFormat="1" applyFont="1" applyFill="1" applyBorder="1"/>
    <xf numFmtId="165" fontId="0" fillId="0" borderId="21" xfId="11" applyNumberFormat="1" applyFont="1" applyBorder="1"/>
    <xf numFmtId="44" fontId="0" fillId="12" borderId="21" xfId="12" applyFont="1" applyFill="1" applyBorder="1"/>
    <xf numFmtId="0" fontId="63" fillId="0" borderId="0" xfId="9" applyFont="1" applyBorder="1" applyAlignment="1"/>
    <xf numFmtId="172" fontId="63" fillId="0" borderId="21" xfId="9" applyNumberFormat="1" applyFont="1" applyBorder="1"/>
    <xf numFmtId="172" fontId="63" fillId="16" borderId="21" xfId="9" applyNumberFormat="1" applyFont="1" applyFill="1" applyBorder="1"/>
    <xf numFmtId="165" fontId="63" fillId="0" borderId="21" xfId="11" applyNumberFormat="1" applyFont="1" applyBorder="1"/>
    <xf numFmtId="0" fontId="67" fillId="0" borderId="0" xfId="9" applyFont="1" applyBorder="1" applyAlignment="1">
      <alignment horizontal="left"/>
    </xf>
    <xf numFmtId="10" fontId="1" fillId="0" borderId="0" xfId="9" applyNumberFormat="1" applyBorder="1"/>
    <xf numFmtId="44" fontId="0" fillId="13" borderId="21" xfId="12" applyFont="1" applyFill="1" applyBorder="1"/>
    <xf numFmtId="15" fontId="66" fillId="14" borderId="21" xfId="9" applyNumberFormat="1" applyFont="1" applyFill="1" applyBorder="1" applyAlignment="1">
      <alignment horizontal="right"/>
    </xf>
    <xf numFmtId="0" fontId="66" fillId="0" borderId="23" xfId="9" applyFont="1" applyBorder="1" applyAlignment="1">
      <alignment horizontal="center" wrapText="1"/>
    </xf>
    <xf numFmtId="0" fontId="1" fillId="0" borderId="22" xfId="9" applyBorder="1"/>
    <xf numFmtId="172" fontId="1" fillId="9" borderId="21" xfId="12" applyNumberFormat="1" applyFont="1" applyFill="1" applyBorder="1"/>
    <xf numFmtId="172" fontId="0" fillId="3" borderId="21" xfId="12" applyNumberFormat="1" applyFont="1" applyFill="1" applyBorder="1"/>
    <xf numFmtId="173" fontId="0" fillId="3" borderId="21" xfId="11" applyNumberFormat="1" applyFont="1" applyFill="1" applyBorder="1"/>
    <xf numFmtId="0" fontId="66" fillId="0" borderId="0" xfId="9" applyFont="1" applyBorder="1" applyAlignment="1">
      <alignment horizontal="center" wrapText="1"/>
    </xf>
    <xf numFmtId="44" fontId="0" fillId="3" borderId="0" xfId="12" applyNumberFormat="1" applyFont="1" applyFill="1" applyBorder="1"/>
    <xf numFmtId="167" fontId="63" fillId="0" borderId="21" xfId="10" applyNumberFormat="1" applyFont="1" applyBorder="1"/>
    <xf numFmtId="172" fontId="63" fillId="3" borderId="21" xfId="12" applyNumberFormat="1" applyFont="1" applyFill="1" applyBorder="1"/>
    <xf numFmtId="173" fontId="63" fillId="17" borderId="21" xfId="11" applyNumberFormat="1" applyFont="1" applyFill="1" applyBorder="1"/>
    <xf numFmtId="172" fontId="63" fillId="15" borderId="21" xfId="12" applyNumberFormat="1" applyFont="1" applyFill="1" applyBorder="1"/>
    <xf numFmtId="44" fontId="1" fillId="0" borderId="0" xfId="9" applyNumberFormat="1" applyBorder="1"/>
    <xf numFmtId="0" fontId="68" fillId="0" borderId="0" xfId="9" applyFont="1" applyBorder="1" applyAlignment="1">
      <alignment horizontal="right"/>
    </xf>
    <xf numFmtId="172" fontId="63" fillId="0" borderId="0" xfId="9" applyNumberFormat="1" applyFont="1" applyBorder="1"/>
    <xf numFmtId="167" fontId="63" fillId="0" borderId="0" xfId="10" applyNumberFormat="1" applyFont="1" applyBorder="1"/>
    <xf numFmtId="172" fontId="63" fillId="3" borderId="0" xfId="12" applyNumberFormat="1" applyFont="1" applyFill="1" applyBorder="1"/>
    <xf numFmtId="172" fontId="1" fillId="0" borderId="0" xfId="9" applyNumberFormat="1" applyBorder="1"/>
    <xf numFmtId="172" fontId="63" fillId="9" borderId="21" xfId="9" applyNumberFormat="1" applyFont="1" applyFill="1" applyBorder="1"/>
    <xf numFmtId="44" fontId="1" fillId="13" borderId="0" xfId="9" applyNumberFormat="1" applyFill="1"/>
    <xf numFmtId="167" fontId="0" fillId="0" borderId="0" xfId="10" applyNumberFormat="1" applyFont="1"/>
    <xf numFmtId="0" fontId="69" fillId="0" borderId="0" xfId="9" applyFont="1"/>
    <xf numFmtId="175" fontId="1" fillId="0" borderId="0" xfId="9" applyNumberFormat="1"/>
    <xf numFmtId="3" fontId="1" fillId="0" borderId="0" xfId="9" applyNumberFormat="1"/>
    <xf numFmtId="0" fontId="3" fillId="0" borderId="0" xfId="0" applyFont="1" applyFill="1" applyBorder="1" applyAlignment="1">
      <alignment vertical="top" wrapText="1"/>
    </xf>
    <xf numFmtId="0" fontId="3" fillId="0" borderId="0" xfId="0" applyFont="1" applyFill="1" applyBorder="1" applyAlignment="1">
      <alignment vertical="top"/>
    </xf>
    <xf numFmtId="44" fontId="3" fillId="0" borderId="0" xfId="8" applyFont="1" applyFill="1" applyBorder="1" applyAlignment="1">
      <alignment horizontal="right" vertical="top" wrapText="1"/>
    </xf>
    <xf numFmtId="10" fontId="3" fillId="0" borderId="0" xfId="2" applyNumberFormat="1" applyFont="1" applyFill="1" applyBorder="1" applyAlignment="1">
      <alignment horizontal="right" vertical="top" wrapText="1"/>
    </xf>
    <xf numFmtId="172" fontId="3" fillId="0" borderId="0" xfId="8" applyNumberFormat="1" applyFont="1" applyFill="1" applyBorder="1" applyAlignment="1">
      <alignment horizontal="right" vertical="top" wrapText="1"/>
    </xf>
    <xf numFmtId="172" fontId="3" fillId="0" borderId="0" xfId="0" applyNumberFormat="1" applyFont="1" applyFill="1" applyBorder="1" applyAlignment="1">
      <alignment vertical="top"/>
    </xf>
    <xf numFmtId="3" fontId="3" fillId="0" borderId="0" xfId="0" applyNumberFormat="1" applyFont="1" applyFill="1" applyBorder="1" applyAlignment="1">
      <alignment horizontal="right" vertical="center" wrapText="1"/>
    </xf>
    <xf numFmtId="3" fontId="10" fillId="0" borderId="13"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0" fontId="3" fillId="0" borderId="0" xfId="0" applyFont="1" applyFill="1" applyBorder="1" applyAlignment="1">
      <alignment horizontal="left" wrapText="1"/>
    </xf>
    <xf numFmtId="170" fontId="0" fillId="9" borderId="0" xfId="0" applyNumberFormat="1" applyFill="1" applyAlignment="1">
      <alignment vertical="top"/>
    </xf>
    <xf numFmtId="167" fontId="0" fillId="9" borderId="0" xfId="2" applyNumberFormat="1" applyFont="1" applyFill="1" applyAlignment="1">
      <alignment vertical="top"/>
    </xf>
    <xf numFmtId="170" fontId="3" fillId="0" borderId="0" xfId="0" applyNumberFormat="1" applyFont="1" applyAlignment="1">
      <alignment vertical="top"/>
    </xf>
    <xf numFmtId="2" fontId="3" fillId="11" borderId="0" xfId="0" applyNumberFormat="1" applyFont="1" applyFill="1" applyAlignment="1">
      <alignment horizontal="center" vertical="top" wrapText="1"/>
    </xf>
    <xf numFmtId="2" fontId="3" fillId="2" borderId="0" xfId="0" applyNumberFormat="1" applyFont="1" applyFill="1" applyAlignment="1">
      <alignment horizontal="center" vertical="top" wrapText="1"/>
    </xf>
    <xf numFmtId="2" fontId="3" fillId="11" borderId="4" xfId="0" applyNumberFormat="1" applyFont="1" applyFill="1" applyBorder="1" applyAlignment="1">
      <alignment horizontal="center" vertical="top"/>
    </xf>
    <xf numFmtId="2" fontId="3" fillId="2" borderId="4" xfId="0" applyNumberFormat="1" applyFont="1" applyFill="1" applyBorder="1" applyAlignment="1">
      <alignment horizontal="center" vertical="top" wrapText="1"/>
    </xf>
    <xf numFmtId="2" fontId="3" fillId="11" borderId="4" xfId="0" applyNumberFormat="1" applyFont="1" applyFill="1" applyBorder="1" applyAlignment="1">
      <alignment horizontal="center" vertical="top" wrapText="1"/>
    </xf>
    <xf numFmtId="0" fontId="3" fillId="3" borderId="0" xfId="0" applyFont="1" applyFill="1" applyBorder="1" applyAlignment="1">
      <alignment vertical="top" wrapText="1"/>
    </xf>
    <xf numFmtId="0" fontId="14" fillId="10" borderId="4" xfId="0" applyFont="1" applyFill="1" applyBorder="1" applyAlignment="1">
      <alignment vertical="top" wrapText="1"/>
    </xf>
    <xf numFmtId="0" fontId="48" fillId="2" borderId="0" xfId="0" applyFont="1" applyFill="1" applyAlignment="1">
      <alignment horizontal="center" vertical="center"/>
    </xf>
    <xf numFmtId="0" fontId="3" fillId="2" borderId="0" xfId="0" applyFont="1" applyFill="1" applyAlignment="1">
      <alignment horizontal="justify" vertical="top"/>
    </xf>
    <xf numFmtId="0" fontId="3" fillId="3" borderId="0" xfId="0" applyFont="1" applyFill="1" applyAlignment="1">
      <alignment horizontal="justify" vertical="top"/>
    </xf>
    <xf numFmtId="0" fontId="3" fillId="3" borderId="0" xfId="0" applyFont="1" applyFill="1" applyAlignment="1">
      <alignment vertical="top" wrapText="1"/>
    </xf>
    <xf numFmtId="0" fontId="0" fillId="2" borderId="0" xfId="0" applyFill="1" applyAlignment="1">
      <alignment horizontal="justify" vertical="top"/>
    </xf>
    <xf numFmtId="0" fontId="3" fillId="0" borderId="0" xfId="0" applyFont="1" applyFill="1" applyAlignment="1">
      <alignment horizontal="justify" vertical="top"/>
    </xf>
    <xf numFmtId="0" fontId="0" fillId="0" borderId="0" xfId="0" applyAlignment="1">
      <alignment vertical="top"/>
    </xf>
    <xf numFmtId="0" fontId="3" fillId="2" borderId="0" xfId="0" applyFont="1" applyFill="1" applyAlignment="1">
      <alignment horizontal="left" vertical="top" wrapText="1"/>
    </xf>
    <xf numFmtId="0" fontId="3" fillId="0" borderId="0" xfId="0" applyFont="1" applyAlignment="1">
      <alignment vertical="top"/>
    </xf>
    <xf numFmtId="0" fontId="10" fillId="2" borderId="0" xfId="0" applyFont="1" applyFill="1" applyAlignment="1">
      <alignment vertical="top"/>
    </xf>
    <xf numFmtId="0" fontId="3" fillId="0" borderId="0" xfId="0" applyFont="1" applyAlignment="1">
      <alignment vertical="top" wrapText="1"/>
    </xf>
    <xf numFmtId="0" fontId="3" fillId="0" borderId="0" xfId="0" applyFont="1" applyAlignment="1">
      <alignment horizontal="justify" vertical="top" wrapText="1"/>
    </xf>
    <xf numFmtId="0" fontId="3" fillId="2" borderId="0" xfId="0" applyFont="1" applyFill="1" applyAlignment="1">
      <alignment horizontal="justify" wrapText="1"/>
    </xf>
    <xf numFmtId="0" fontId="3" fillId="2" borderId="0" xfId="0" applyFont="1" applyFill="1" applyAlignment="1">
      <alignment wrapText="1"/>
    </xf>
    <xf numFmtId="0" fontId="10" fillId="10" borderId="0" xfId="0" applyFont="1" applyFill="1" applyAlignment="1">
      <alignment horizontal="center" vertical="top" wrapText="1"/>
    </xf>
    <xf numFmtId="0" fontId="10" fillId="7" borderId="0" xfId="0" applyFont="1" applyFill="1" applyAlignment="1">
      <alignment vertical="top" wrapText="1"/>
    </xf>
    <xf numFmtId="0" fontId="10" fillId="7" borderId="0" xfId="3" applyFont="1" applyFill="1" applyAlignment="1">
      <alignment wrapText="1"/>
    </xf>
    <xf numFmtId="0" fontId="3" fillId="2" borderId="0" xfId="0" applyFont="1" applyFill="1" applyAlignment="1">
      <alignment horizontal="justify" vertical="top"/>
    </xf>
    <xf numFmtId="0" fontId="10" fillId="2" borderId="0" xfId="0" applyFont="1" applyFill="1" applyAlignment="1">
      <alignment horizontal="justify" vertical="top" wrapText="1"/>
    </xf>
    <xf numFmtId="0" fontId="3" fillId="3" borderId="0" xfId="0" applyFont="1" applyFill="1" applyAlignment="1">
      <alignment horizontal="justify"/>
    </xf>
    <xf numFmtId="0" fontId="3" fillId="3" borderId="0" xfId="3" applyFont="1" applyFill="1" applyAlignment="1">
      <alignment horizontal="justify" vertical="top" wrapText="1"/>
    </xf>
    <xf numFmtId="0" fontId="3" fillId="3" borderId="0" xfId="0" applyFont="1" applyFill="1" applyAlignment="1">
      <alignment horizontal="justify" vertical="top" wrapText="1"/>
    </xf>
    <xf numFmtId="0" fontId="0" fillId="2" borderId="0" xfId="0" applyFill="1" applyAlignment="1">
      <alignment horizontal="justify" vertical="top"/>
    </xf>
    <xf numFmtId="0" fontId="10" fillId="2" borderId="0" xfId="0" applyFont="1" applyFill="1" applyAlignment="1">
      <alignment horizontal="justify" vertical="top"/>
    </xf>
    <xf numFmtId="0" fontId="0" fillId="0" borderId="0" xfId="0" applyAlignment="1">
      <alignment horizontal="justify" vertical="top"/>
    </xf>
    <xf numFmtId="0" fontId="3" fillId="0" borderId="0" xfId="0" applyFont="1" applyFill="1" applyAlignment="1">
      <alignment horizontal="justify" vertical="top"/>
    </xf>
    <xf numFmtId="0" fontId="3" fillId="0" borderId="0" xfId="0" applyFont="1" applyAlignment="1">
      <alignment horizontal="justify" vertical="top"/>
    </xf>
    <xf numFmtId="0" fontId="3" fillId="0" borderId="0" xfId="0" applyFont="1" applyAlignment="1">
      <alignment horizontal="justify" vertical="top" wrapText="1"/>
    </xf>
    <xf numFmtId="0" fontId="10" fillId="2" borderId="0" xfId="0" applyFont="1" applyFill="1" applyAlignment="1">
      <alignment horizontal="justify" wrapText="1"/>
    </xf>
    <xf numFmtId="0" fontId="3" fillId="0" borderId="0" xfId="0" applyFont="1" applyFill="1" applyAlignment="1">
      <alignment horizontal="justify" vertical="top" wrapText="1"/>
    </xf>
    <xf numFmtId="0" fontId="51" fillId="2" borderId="0" xfId="0" applyFont="1" applyFill="1" applyAlignment="1">
      <alignment horizontal="justify" vertical="top"/>
    </xf>
    <xf numFmtId="0" fontId="8" fillId="3" borderId="0" xfId="0" applyFont="1" applyFill="1" applyAlignment="1">
      <alignment horizontal="justify" vertical="top" wrapText="1"/>
    </xf>
    <xf numFmtId="0" fontId="4" fillId="2" borderId="0" xfId="0" applyFont="1" applyFill="1" applyAlignment="1">
      <alignment horizontal="justify" vertical="top"/>
    </xf>
    <xf numFmtId="0" fontId="8" fillId="0" borderId="0" xfId="0" applyFont="1" applyAlignment="1">
      <alignment horizontal="justify" vertical="top" wrapText="1"/>
    </xf>
    <xf numFmtId="0" fontId="8" fillId="0" borderId="0" xfId="0" applyFont="1" applyAlignment="1">
      <alignment horizontal="justify" vertical="top"/>
    </xf>
    <xf numFmtId="0" fontId="3" fillId="0" borderId="4" xfId="3" applyBorder="1"/>
    <xf numFmtId="0" fontId="7" fillId="2" borderId="4" xfId="0" applyFont="1" applyFill="1" applyBorder="1" applyAlignment="1">
      <alignment wrapText="1"/>
    </xf>
    <xf numFmtId="0" fontId="70" fillId="2" borderId="4" xfId="0" applyFont="1" applyFill="1" applyBorder="1" applyAlignment="1">
      <alignment horizontal="center" vertical="top" wrapText="1"/>
    </xf>
    <xf numFmtId="0" fontId="70" fillId="2" borderId="0" xfId="0" applyFont="1" applyFill="1" applyAlignment="1">
      <alignment horizontal="center" vertical="top" wrapText="1"/>
    </xf>
    <xf numFmtId="0" fontId="3" fillId="0" borderId="0" xfId="3" applyFont="1" applyFill="1" applyAlignment="1">
      <alignment horizontal="justify" vertical="top" wrapText="1"/>
    </xf>
    <xf numFmtId="0" fontId="10" fillId="3" borderId="0" xfId="3" applyFont="1" applyFill="1" applyAlignment="1">
      <alignment horizontal="justify" vertical="top" wrapText="1"/>
    </xf>
    <xf numFmtId="0" fontId="3" fillId="0" borderId="0" xfId="3" applyAlignment="1">
      <alignment horizontal="justify" vertical="top" wrapText="1"/>
    </xf>
    <xf numFmtId="0" fontId="34" fillId="0" borderId="0" xfId="0" applyFont="1" applyAlignment="1">
      <alignment horizontal="justify" vertical="top"/>
    </xf>
    <xf numFmtId="0" fontId="15" fillId="2" borderId="0" xfId="0" applyFont="1" applyFill="1" applyAlignment="1">
      <alignment horizontal="justify" vertical="top"/>
    </xf>
    <xf numFmtId="0" fontId="3" fillId="2" borderId="2" xfId="0" applyFont="1" applyFill="1" applyBorder="1" applyAlignment="1">
      <alignment horizontal="justify" vertical="top" wrapText="1"/>
    </xf>
    <xf numFmtId="0" fontId="7" fillId="2" borderId="2" xfId="0" applyFont="1" applyFill="1" applyBorder="1" applyAlignment="1">
      <alignment horizontal="justify" vertical="top" wrapText="1"/>
    </xf>
    <xf numFmtId="0" fontId="3" fillId="2" borderId="0" xfId="3" applyFont="1" applyFill="1" applyAlignment="1">
      <alignment horizontal="justify" vertical="top"/>
    </xf>
    <xf numFmtId="0" fontId="3" fillId="2" borderId="0" xfId="3" applyFill="1" applyAlignment="1">
      <alignment horizontal="justify" vertical="top"/>
    </xf>
    <xf numFmtId="0" fontId="0" fillId="2" borderId="0" xfId="0" applyFill="1" applyAlignment="1">
      <alignment horizontal="justify" vertical="top" wrapText="1"/>
    </xf>
    <xf numFmtId="0" fontId="16" fillId="2" borderId="0" xfId="0" applyFont="1" applyFill="1" applyAlignment="1">
      <alignment horizontal="justify" wrapText="1"/>
    </xf>
    <xf numFmtId="0" fontId="0" fillId="2" borderId="0" xfId="0" applyFill="1" applyAlignment="1">
      <alignment horizontal="justify" wrapText="1"/>
    </xf>
    <xf numFmtId="0" fontId="3" fillId="2" borderId="0" xfId="3" applyFont="1" applyFill="1" applyAlignment="1">
      <alignment horizontal="justify" wrapText="1"/>
    </xf>
    <xf numFmtId="0" fontId="3" fillId="2" borderId="0" xfId="3" applyFill="1" applyAlignment="1">
      <alignment horizontal="justify" wrapText="1"/>
    </xf>
    <xf numFmtId="0" fontId="8" fillId="3" borderId="0" xfId="0" applyFont="1" applyFill="1" applyAlignment="1">
      <alignment horizontal="justify" vertical="top"/>
    </xf>
    <xf numFmtId="0" fontId="3" fillId="0" borderId="0" xfId="0" applyFont="1" applyAlignment="1">
      <alignment horizontal="justify" vertical="top"/>
    </xf>
    <xf numFmtId="167" fontId="3" fillId="0" borderId="0" xfId="2" applyNumberFormat="1" applyFont="1"/>
    <xf numFmtId="167" fontId="0" fillId="0" borderId="0" xfId="2" applyNumberFormat="1" applyFont="1" applyAlignment="1">
      <alignment vertical="top"/>
    </xf>
    <xf numFmtId="0" fontId="14" fillId="10" borderId="4" xfId="0" applyFont="1" applyFill="1" applyBorder="1" applyAlignment="1">
      <alignment horizontal="center" vertical="top" wrapText="1"/>
    </xf>
    <xf numFmtId="0" fontId="3" fillId="0" borderId="0" xfId="0" applyFont="1" applyAlignment="1">
      <alignment horizontal="justify" vertical="top" wrapText="1"/>
    </xf>
    <xf numFmtId="0" fontId="3" fillId="0" borderId="0" xfId="0" applyFont="1" applyFill="1" applyAlignment="1">
      <alignment horizontal="justify" vertical="top" wrapText="1"/>
    </xf>
    <xf numFmtId="0" fontId="3" fillId="0" borderId="0" xfId="0" applyFont="1" applyAlignment="1">
      <alignment horizontal="justify"/>
    </xf>
    <xf numFmtId="0" fontId="3" fillId="0" borderId="0" xfId="0" applyFont="1" applyAlignment="1">
      <alignment horizontal="justify" vertical="top"/>
    </xf>
    <xf numFmtId="0" fontId="3" fillId="2" borderId="0" xfId="0" applyFont="1" applyFill="1" applyAlignment="1">
      <alignment horizontal="justify" vertical="top"/>
    </xf>
    <xf numFmtId="0" fontId="3" fillId="2" borderId="0" xfId="0" applyFont="1" applyFill="1" applyAlignment="1">
      <alignment horizontal="justify" vertical="top" wrapText="1"/>
    </xf>
    <xf numFmtId="0" fontId="3" fillId="3" borderId="0" xfId="0" applyFont="1" applyFill="1" applyAlignment="1">
      <alignment horizontal="justify" vertical="top"/>
    </xf>
    <xf numFmtId="0" fontId="7" fillId="3" borderId="0" xfId="0" applyFont="1" applyFill="1" applyAlignment="1">
      <alignment horizontal="justify" vertical="top" wrapText="1"/>
    </xf>
    <xf numFmtId="0" fontId="7" fillId="3" borderId="0" xfId="0" applyFont="1" applyFill="1" applyAlignment="1">
      <alignment horizontal="justify" vertical="top"/>
    </xf>
    <xf numFmtId="0" fontId="8" fillId="2" borderId="0" xfId="0" applyFont="1" applyFill="1" applyAlignment="1">
      <alignment horizontal="justify" vertical="top"/>
    </xf>
    <xf numFmtId="0" fontId="0" fillId="2" borderId="0" xfId="0" applyFill="1" applyAlignment="1">
      <alignment horizontal="justify" vertical="top"/>
    </xf>
    <xf numFmtId="0" fontId="3" fillId="3" borderId="0" xfId="0" applyFont="1" applyFill="1" applyAlignment="1">
      <alignment horizontal="justify" vertical="top" wrapText="1"/>
    </xf>
    <xf numFmtId="0" fontId="3" fillId="3" borderId="0" xfId="0" applyFont="1" applyFill="1" applyAlignment="1">
      <alignment horizontal="left" vertical="top" wrapText="1"/>
    </xf>
    <xf numFmtId="0" fontId="7" fillId="3" borderId="0" xfId="0" applyFont="1" applyFill="1" applyAlignment="1">
      <alignment horizontal="left" vertical="top"/>
    </xf>
    <xf numFmtId="0" fontId="10" fillId="2" borderId="0" xfId="0" applyFont="1" applyFill="1" applyAlignment="1">
      <alignment horizontal="justify" vertical="top"/>
    </xf>
    <xf numFmtId="0" fontId="11" fillId="3" borderId="0" xfId="0" applyFont="1" applyFill="1" applyAlignment="1">
      <alignment horizontal="left"/>
    </xf>
    <xf numFmtId="0" fontId="0" fillId="3" borderId="0" xfId="0" applyFill="1" applyAlignment="1">
      <alignment horizontal="left"/>
    </xf>
    <xf numFmtId="0" fontId="3" fillId="7" borderId="0" xfId="0" applyFont="1" applyFill="1" applyAlignment="1">
      <alignment horizontal="left" vertical="top" wrapText="1"/>
    </xf>
    <xf numFmtId="0" fontId="10" fillId="7" borderId="0" xfId="0" applyFont="1" applyFill="1" applyAlignment="1">
      <alignment horizontal="left" vertical="top" wrapText="1"/>
    </xf>
    <xf numFmtId="0" fontId="5" fillId="2" borderId="0" xfId="0" applyFont="1" applyFill="1" applyAlignment="1">
      <alignment horizontal="justify" vertical="top"/>
    </xf>
    <xf numFmtId="0" fontId="0" fillId="2" borderId="0" xfId="0" applyFill="1" applyAlignment="1">
      <alignment horizontal="justify" vertical="top" wrapText="1"/>
    </xf>
    <xf numFmtId="0" fontId="8" fillId="3" borderId="0" xfId="0" applyFont="1" applyFill="1" applyAlignment="1">
      <alignment horizontal="justify" vertical="top" wrapText="1"/>
    </xf>
    <xf numFmtId="0" fontId="3" fillId="2" borderId="2" xfId="3" applyFont="1" applyFill="1" applyBorder="1" applyAlignment="1">
      <alignment horizontal="justify" vertical="top" wrapText="1"/>
    </xf>
    <xf numFmtId="0" fontId="3" fillId="2" borderId="2" xfId="3" applyFill="1" applyBorder="1" applyAlignment="1">
      <alignment horizontal="justify" vertical="top" wrapText="1"/>
    </xf>
    <xf numFmtId="0" fontId="3" fillId="0" borderId="8" xfId="3" applyFont="1" applyBorder="1" applyAlignment="1">
      <alignment vertical="top" wrapText="1"/>
    </xf>
    <xf numFmtId="0" fontId="3" fillId="0" borderId="7" xfId="3" applyFont="1" applyBorder="1" applyAlignment="1">
      <alignment vertical="top" wrapText="1"/>
    </xf>
    <xf numFmtId="0" fontId="14" fillId="10" borderId="0" xfId="3" applyFont="1" applyFill="1" applyAlignment="1">
      <alignment wrapText="1"/>
    </xf>
    <xf numFmtId="0" fontId="3" fillId="7" borderId="0" xfId="3" applyFont="1" applyFill="1" applyAlignment="1">
      <alignment horizontal="center" vertical="center" wrapText="1"/>
    </xf>
    <xf numFmtId="0" fontId="3" fillId="3" borderId="0" xfId="0" applyFont="1" applyFill="1" applyAlignment="1">
      <alignment horizontal="justify"/>
    </xf>
    <xf numFmtId="0" fontId="10" fillId="2" borderId="0" xfId="3" applyFont="1" applyFill="1" applyAlignment="1">
      <alignment horizontal="left" vertical="top"/>
    </xf>
    <xf numFmtId="0" fontId="3" fillId="0" borderId="0" xfId="3" applyFont="1" applyAlignment="1">
      <alignment horizontal="left" vertical="top"/>
    </xf>
    <xf numFmtId="0" fontId="35" fillId="10" borderId="7" xfId="3" applyFont="1" applyFill="1" applyBorder="1" applyAlignment="1">
      <alignment vertical="center" wrapText="1"/>
    </xf>
    <xf numFmtId="0" fontId="3" fillId="0" borderId="6" xfId="3" applyFont="1" applyBorder="1" applyAlignment="1">
      <alignment vertical="top" wrapText="1"/>
    </xf>
    <xf numFmtId="0" fontId="3" fillId="2" borderId="2" xfId="3" applyFont="1" applyFill="1" applyBorder="1" applyAlignment="1">
      <alignment vertical="top" wrapText="1"/>
    </xf>
    <xf numFmtId="0" fontId="3" fillId="7" borderId="0" xfId="3" applyFill="1" applyAlignment="1">
      <alignment horizontal="center" vertical="center" wrapText="1"/>
    </xf>
    <xf numFmtId="0" fontId="10" fillId="2" borderId="0" xfId="3" applyFont="1" applyFill="1" applyAlignment="1">
      <alignment horizontal="justify" wrapText="1"/>
    </xf>
    <xf numFmtId="0" fontId="3" fillId="3" borderId="0" xfId="0" applyFont="1" applyFill="1" applyAlignment="1">
      <alignment horizontal="justify" wrapText="1"/>
    </xf>
    <xf numFmtId="0" fontId="0" fillId="2" borderId="0" xfId="0" applyFill="1" applyAlignment="1">
      <alignment horizontal="justify" wrapText="1"/>
    </xf>
    <xf numFmtId="0" fontId="3" fillId="0" borderId="7" xfId="3" applyFont="1" applyBorder="1" applyAlignment="1">
      <alignment horizontal="justify" vertical="top" wrapText="1"/>
    </xf>
    <xf numFmtId="0" fontId="3" fillId="0" borderId="7" xfId="3" applyBorder="1" applyAlignment="1">
      <alignment horizontal="justify"/>
    </xf>
    <xf numFmtId="0" fontId="3" fillId="3" borderId="0" xfId="3" applyFont="1" applyFill="1" applyAlignment="1">
      <alignment horizontal="justify" wrapText="1"/>
    </xf>
    <xf numFmtId="0" fontId="3" fillId="0" borderId="0" xfId="3" applyFont="1" applyBorder="1" applyAlignment="1">
      <alignment vertical="top" wrapText="1"/>
    </xf>
    <xf numFmtId="0" fontId="3" fillId="0" borderId="0" xfId="3" applyFont="1" applyAlignment="1">
      <alignment vertical="top" wrapText="1"/>
    </xf>
    <xf numFmtId="0" fontId="3" fillId="0" borderId="0" xfId="3" applyFont="1" applyBorder="1" applyAlignment="1">
      <alignment horizontal="justify" vertical="top" wrapText="1"/>
    </xf>
    <xf numFmtId="0" fontId="3" fillId="0" borderId="0" xfId="3" applyBorder="1" applyAlignment="1">
      <alignment horizontal="justify" vertical="top" wrapText="1"/>
    </xf>
    <xf numFmtId="0" fontId="3" fillId="0" borderId="0" xfId="3" applyFont="1" applyAlignment="1">
      <alignment horizontal="justify" vertical="top" wrapText="1"/>
    </xf>
    <xf numFmtId="0" fontId="3" fillId="0" borderId="0" xfId="3" applyAlignment="1">
      <alignment horizontal="justify" vertical="top" wrapText="1"/>
    </xf>
    <xf numFmtId="0" fontId="3" fillId="0" borderId="0" xfId="3" applyAlignment="1">
      <alignment horizontal="justify"/>
    </xf>
    <xf numFmtId="0" fontId="3" fillId="0" borderId="7" xfId="3" applyBorder="1" applyAlignment="1">
      <alignment horizontal="justify" vertical="top" wrapText="1"/>
    </xf>
    <xf numFmtId="0" fontId="3" fillId="0" borderId="8" xfId="3" applyFont="1" applyBorder="1" applyAlignment="1">
      <alignment horizontal="justify" vertical="top" wrapText="1"/>
    </xf>
    <xf numFmtId="0" fontId="3" fillId="0" borderId="8" xfId="3" applyBorder="1" applyAlignment="1">
      <alignment horizontal="justify" vertical="top" wrapText="1"/>
    </xf>
    <xf numFmtId="0" fontId="3" fillId="0" borderId="0" xfId="3" applyBorder="1" applyAlignment="1">
      <alignment horizontal="justify"/>
    </xf>
    <xf numFmtId="0" fontId="11" fillId="2" borderId="0" xfId="3" applyFont="1" applyFill="1" applyAlignment="1">
      <alignment horizontal="justify" wrapText="1"/>
    </xf>
    <xf numFmtId="0" fontId="3" fillId="0" borderId="0" xfId="3" applyAlignment="1"/>
    <xf numFmtId="0" fontId="3" fillId="2" borderId="0" xfId="3" applyFont="1" applyFill="1" applyAlignment="1">
      <alignment horizontal="justify"/>
    </xf>
    <xf numFmtId="0" fontId="3" fillId="0" borderId="0" xfId="3" applyFont="1" applyAlignment="1"/>
    <xf numFmtId="0" fontId="10" fillId="2" borderId="0" xfId="3" applyFont="1" applyFill="1" applyAlignment="1">
      <alignment horizontal="justify"/>
    </xf>
    <xf numFmtId="0" fontId="3" fillId="3" borderId="0" xfId="3" applyFont="1" applyFill="1" applyAlignment="1">
      <alignment horizontal="justify"/>
    </xf>
    <xf numFmtId="0" fontId="3" fillId="2" borderId="0" xfId="3" applyFill="1" applyAlignment="1">
      <alignment horizontal="justify"/>
    </xf>
    <xf numFmtId="0" fontId="3" fillId="7" borderId="0" xfId="3" applyFont="1" applyFill="1" applyAlignment="1">
      <alignment horizontal="left" vertical="center" wrapText="1"/>
    </xf>
    <xf numFmtId="0" fontId="10" fillId="7" borderId="0" xfId="3" applyFont="1" applyFill="1" applyAlignment="1">
      <alignment horizontal="left" vertical="center" wrapText="1"/>
    </xf>
    <xf numFmtId="0" fontId="3" fillId="2" borderId="3" xfId="3" applyFont="1" applyFill="1" applyBorder="1" applyAlignment="1">
      <alignment vertical="top" wrapText="1"/>
    </xf>
    <xf numFmtId="0" fontId="3" fillId="2" borderId="0" xfId="3" applyFont="1" applyFill="1" applyBorder="1" applyAlignment="1">
      <alignment vertical="top" wrapText="1"/>
    </xf>
    <xf numFmtId="0" fontId="3" fillId="2" borderId="1" xfId="3" applyFont="1" applyFill="1" applyBorder="1" applyAlignment="1">
      <alignment vertical="top" wrapText="1"/>
    </xf>
    <xf numFmtId="0" fontId="3" fillId="2" borderId="3" xfId="3" applyFont="1" applyFill="1" applyBorder="1" applyAlignment="1">
      <alignment horizontal="justify" vertical="top" wrapText="1"/>
    </xf>
    <xf numFmtId="0" fontId="3" fillId="2" borderId="0" xfId="3" applyFont="1" applyFill="1" applyBorder="1" applyAlignment="1">
      <alignment horizontal="justify" vertical="top" wrapText="1"/>
    </xf>
    <xf numFmtId="0" fontId="3" fillId="2" borderId="1" xfId="3" applyFont="1" applyFill="1" applyBorder="1" applyAlignment="1">
      <alignment horizontal="justify" vertical="top" wrapText="1"/>
    </xf>
    <xf numFmtId="0" fontId="3" fillId="7" borderId="0" xfId="0" applyFont="1" applyFill="1" applyAlignment="1">
      <alignment horizontal="center" vertical="center" wrapText="1"/>
    </xf>
    <xf numFmtId="0" fontId="3" fillId="3" borderId="0" xfId="3" applyFont="1" applyFill="1" applyAlignment="1">
      <alignment horizontal="justify" vertical="top" wrapText="1"/>
    </xf>
    <xf numFmtId="0" fontId="10" fillId="6" borderId="0" xfId="3" applyFont="1" applyFill="1" applyAlignment="1">
      <alignment horizontal="center" vertical="center" wrapText="1"/>
    </xf>
    <xf numFmtId="0" fontId="3" fillId="2" borderId="0" xfId="3" applyFont="1" applyFill="1" applyAlignment="1">
      <alignment horizontal="justify" vertical="top" wrapText="1"/>
    </xf>
    <xf numFmtId="0" fontId="3" fillId="0" borderId="0" xfId="3" applyBorder="1" applyAlignment="1"/>
    <xf numFmtId="0" fontId="3" fillId="0" borderId="6" xfId="3" applyBorder="1" applyAlignment="1">
      <alignment vertical="top" wrapText="1"/>
    </xf>
    <xf numFmtId="0" fontId="3" fillId="0" borderId="6" xfId="3" applyBorder="1" applyAlignment="1"/>
    <xf numFmtId="0" fontId="3" fillId="10" borderId="7" xfId="3" applyFill="1" applyBorder="1" applyAlignment="1">
      <alignment vertical="center" wrapText="1"/>
    </xf>
    <xf numFmtId="0" fontId="3" fillId="10" borderId="7" xfId="3" applyFill="1" applyBorder="1" applyAlignment="1"/>
    <xf numFmtId="0" fontId="10" fillId="2" borderId="1" xfId="3" applyFont="1" applyFill="1" applyBorder="1" applyAlignment="1">
      <alignment horizontal="justify" vertical="top" wrapText="1"/>
    </xf>
    <xf numFmtId="0" fontId="10" fillId="2" borderId="2" xfId="3" applyFont="1" applyFill="1" applyBorder="1" applyAlignment="1">
      <alignment horizontal="justify" vertical="top" wrapText="1"/>
    </xf>
    <xf numFmtId="0" fontId="10" fillId="2" borderId="3" xfId="3" applyFont="1" applyFill="1" applyBorder="1" applyAlignment="1">
      <alignment horizontal="justify" vertical="top" wrapText="1"/>
    </xf>
    <xf numFmtId="0" fontId="10" fillId="2" borderId="0" xfId="3" applyFont="1" applyFill="1" applyAlignment="1">
      <alignment horizontal="justify" vertical="top" wrapText="1"/>
    </xf>
    <xf numFmtId="0" fontId="3" fillId="0" borderId="7" xfId="3" applyBorder="1" applyAlignment="1"/>
    <xf numFmtId="0" fontId="3" fillId="0" borderId="8" xfId="3" applyBorder="1" applyAlignment="1">
      <alignment vertical="top" wrapText="1"/>
    </xf>
    <xf numFmtId="0" fontId="3" fillId="3" borderId="0" xfId="3" applyFont="1" applyFill="1" applyAlignment="1">
      <alignment horizontal="left" wrapText="1"/>
    </xf>
    <xf numFmtId="0" fontId="3" fillId="0" borderId="0" xfId="0" applyFont="1" applyFill="1" applyAlignment="1">
      <alignment horizontal="justify"/>
    </xf>
    <xf numFmtId="0" fontId="5" fillId="2" borderId="0" xfId="3" applyFont="1" applyFill="1" applyAlignment="1">
      <alignment horizontal="justify"/>
    </xf>
    <xf numFmtId="0" fontId="0" fillId="0" borderId="0" xfId="0" applyAlignment="1">
      <alignment horizontal="justify" vertical="top" wrapText="1"/>
    </xf>
    <xf numFmtId="0" fontId="3" fillId="0" borderId="6" xfId="3" applyFont="1" applyBorder="1" applyAlignment="1">
      <alignment horizontal="justify" vertical="top" wrapText="1"/>
    </xf>
    <xf numFmtId="0" fontId="3" fillId="0" borderId="6" xfId="3" applyBorder="1" applyAlignment="1">
      <alignment horizontal="justify" vertical="top" wrapText="1"/>
    </xf>
    <xf numFmtId="0" fontId="3" fillId="0" borderId="6" xfId="3" applyBorder="1" applyAlignment="1">
      <alignment horizontal="justify"/>
    </xf>
    <xf numFmtId="0" fontId="0" fillId="0" borderId="0" xfId="0" applyFill="1" applyAlignment="1">
      <alignment horizontal="justify" vertical="top" wrapText="1"/>
    </xf>
    <xf numFmtId="0" fontId="44" fillId="10" borderId="0" xfId="0" applyFont="1" applyFill="1" applyBorder="1" applyAlignment="1">
      <alignment horizontal="center" vertical="top" wrapText="1"/>
    </xf>
    <xf numFmtId="0" fontId="0" fillId="7" borderId="0" xfId="0" applyFill="1" applyAlignment="1">
      <alignment horizontal="center" vertical="center" wrapText="1"/>
    </xf>
    <xf numFmtId="0" fontId="44" fillId="10" borderId="0" xfId="0" applyFont="1" applyFill="1" applyAlignment="1">
      <alignment horizontal="right" vertical="top" wrapText="1"/>
    </xf>
    <xf numFmtId="0" fontId="44" fillId="10" borderId="0" xfId="0" applyFont="1" applyFill="1" applyAlignment="1">
      <alignment horizontal="center" vertical="top" wrapText="1"/>
    </xf>
    <xf numFmtId="0" fontId="10" fillId="7" borderId="0" xfId="0" applyFont="1" applyFill="1" applyAlignment="1">
      <alignment horizontal="center" vertical="center" wrapText="1"/>
    </xf>
    <xf numFmtId="0" fontId="14" fillId="10" borderId="0" xfId="0" applyFont="1" applyFill="1" applyAlignment="1">
      <alignment horizontal="center" vertical="top" wrapText="1"/>
    </xf>
    <xf numFmtId="0" fontId="7" fillId="3" borderId="0" xfId="0" applyFont="1" applyFill="1" applyAlignment="1">
      <alignment horizontal="justify"/>
    </xf>
    <xf numFmtId="0" fontId="0" fillId="2" borderId="0" xfId="0" applyFill="1" applyAlignment="1">
      <alignment horizontal="justify"/>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wrapText="1"/>
    </xf>
    <xf numFmtId="0" fontId="3" fillId="0" borderId="0" xfId="0" applyFont="1" applyAlignment="1">
      <alignment wrapText="1"/>
    </xf>
    <xf numFmtId="0" fontId="3" fillId="0" borderId="0" xfId="0" applyFont="1" applyAlignment="1">
      <alignment horizontal="justify" wrapText="1"/>
    </xf>
    <xf numFmtId="0" fontId="0" fillId="0" borderId="0" xfId="0" applyAlignment="1"/>
    <xf numFmtId="0" fontId="22" fillId="2" borderId="0" xfId="0" applyFont="1" applyFill="1" applyAlignment="1">
      <alignment horizontal="justify" vertical="top"/>
    </xf>
    <xf numFmtId="0" fontId="0" fillId="0" borderId="0" xfId="0" applyAlignment="1">
      <alignment horizontal="justify" vertical="top"/>
    </xf>
    <xf numFmtId="0" fontId="20" fillId="2" borderId="0" xfId="0" applyFont="1" applyFill="1" applyAlignment="1">
      <alignment horizontal="justify" vertical="top"/>
    </xf>
    <xf numFmtId="0" fontId="16" fillId="2" borderId="0" xfId="0" applyFont="1" applyFill="1" applyAlignment="1">
      <alignment horizontal="justify" vertical="top"/>
    </xf>
    <xf numFmtId="0" fontId="3" fillId="0" borderId="0" xfId="0" applyFont="1" applyFill="1" applyAlignment="1">
      <alignment horizontal="justify" vertical="top"/>
    </xf>
    <xf numFmtId="0" fontId="16" fillId="0" borderId="0" xfId="0" applyFont="1" applyFill="1" applyAlignment="1">
      <alignment horizontal="justify" vertical="top"/>
    </xf>
    <xf numFmtId="0" fontId="14" fillId="10" borderId="0" xfId="0" applyFont="1" applyFill="1" applyAlignment="1">
      <alignment horizontal="center" vertical="top" textRotation="90" wrapText="1"/>
    </xf>
    <xf numFmtId="0" fontId="20" fillId="0" borderId="0" xfId="0" applyFont="1" applyAlignment="1">
      <alignment vertical="top"/>
    </xf>
    <xf numFmtId="0" fontId="0" fillId="0" borderId="0" xfId="0" applyAlignment="1">
      <alignment vertical="top"/>
    </xf>
    <xf numFmtId="0" fontId="3" fillId="5" borderId="0" xfId="0" applyFont="1" applyFill="1" applyAlignment="1">
      <alignment horizontal="justify" wrapText="1"/>
    </xf>
    <xf numFmtId="0" fontId="3" fillId="0" borderId="0" xfId="0" applyFont="1" applyAlignment="1"/>
    <xf numFmtId="0" fontId="14" fillId="10" borderId="0" xfId="0" applyFont="1" applyFill="1" applyAlignment="1">
      <alignment vertical="top" wrapText="1"/>
    </xf>
    <xf numFmtId="0" fontId="3" fillId="10" borderId="0" xfId="0" applyFont="1" applyFill="1" applyAlignment="1">
      <alignment wrapText="1"/>
    </xf>
    <xf numFmtId="0" fontId="16" fillId="0" borderId="0" xfId="0" applyFont="1" applyAlignment="1">
      <alignment horizontal="justify" wrapText="1"/>
    </xf>
    <xf numFmtId="0" fontId="16" fillId="5" borderId="0" xfId="0" applyFont="1" applyFill="1" applyAlignment="1">
      <alignment horizontal="justify" wrapText="1"/>
    </xf>
    <xf numFmtId="0" fontId="3" fillId="5" borderId="4" xfId="0" applyFont="1" applyFill="1" applyBorder="1" applyAlignment="1">
      <alignment horizontal="justify" wrapText="1"/>
    </xf>
    <xf numFmtId="0" fontId="3" fillId="0" borderId="4" xfId="0" applyFont="1" applyBorder="1" applyAlignment="1"/>
    <xf numFmtId="0" fontId="3" fillId="5" borderId="5" xfId="0" applyFont="1" applyFill="1" applyBorder="1" applyAlignment="1">
      <alignment horizontal="left" vertical="top" wrapText="1"/>
    </xf>
    <xf numFmtId="0" fontId="3" fillId="2" borderId="0" xfId="0" applyFont="1" applyFill="1" applyAlignment="1">
      <alignment horizontal="left" vertical="top" wrapText="1"/>
    </xf>
    <xf numFmtId="0" fontId="3" fillId="2" borderId="0" xfId="0" applyFont="1" applyFill="1" applyBorder="1" applyAlignment="1">
      <alignment horizontal="left" vertical="top"/>
    </xf>
    <xf numFmtId="0" fontId="3" fillId="0" borderId="0" xfId="0" applyFont="1" applyAlignment="1">
      <alignment horizontal="left" vertical="top"/>
    </xf>
    <xf numFmtId="0" fontId="3" fillId="2" borderId="4" xfId="0" applyFont="1" applyFill="1" applyBorder="1" applyAlignment="1">
      <alignment horizontal="left" vertical="top"/>
    </xf>
    <xf numFmtId="0" fontId="3" fillId="0" borderId="4" xfId="0" applyFont="1" applyBorder="1" applyAlignment="1">
      <alignment horizontal="left" vertical="top"/>
    </xf>
    <xf numFmtId="0" fontId="3" fillId="0" borderId="0" xfId="0" applyFont="1" applyAlignment="1">
      <alignment vertical="top"/>
    </xf>
    <xf numFmtId="0" fontId="35" fillId="10" borderId="0" xfId="0" applyFont="1" applyFill="1" applyAlignment="1">
      <alignment horizontal="center" vertical="center" wrapText="1"/>
    </xf>
    <xf numFmtId="0" fontId="35" fillId="10" borderId="16" xfId="0" applyFont="1" applyFill="1" applyBorder="1" applyAlignment="1">
      <alignment horizontal="center" vertical="center" wrapText="1"/>
    </xf>
    <xf numFmtId="0" fontId="35" fillId="10" borderId="0" xfId="0" applyFont="1" applyFill="1" applyBorder="1" applyAlignment="1">
      <alignment horizontal="center" vertical="center" wrapText="1"/>
    </xf>
    <xf numFmtId="0" fontId="35" fillId="10" borderId="13" xfId="0" applyFont="1" applyFill="1" applyBorder="1" applyAlignment="1">
      <alignment horizontal="center" vertical="center" wrapText="1"/>
    </xf>
    <xf numFmtId="0" fontId="10" fillId="7" borderId="0" xfId="0" applyFont="1" applyFill="1" applyAlignment="1">
      <alignment vertical="center" wrapText="1"/>
    </xf>
    <xf numFmtId="0" fontId="3" fillId="0" borderId="0" xfId="0" applyFont="1" applyFill="1" applyBorder="1" applyAlignment="1">
      <alignment horizontal="left" vertical="top"/>
    </xf>
    <xf numFmtId="0" fontId="10" fillId="2" borderId="0" xfId="0" applyFont="1" applyFill="1" applyAlignment="1">
      <alignment horizontal="justify" vertical="top" wrapText="1"/>
    </xf>
    <xf numFmtId="0" fontId="14" fillId="10" borderId="0" xfId="0" applyFont="1" applyFill="1" applyAlignment="1">
      <alignment horizontal="center" vertical="center" wrapText="1"/>
    </xf>
    <xf numFmtId="0" fontId="7" fillId="2" borderId="0" xfId="0" applyFont="1" applyFill="1" applyAlignment="1">
      <alignment horizontal="left" vertical="top" wrapText="1"/>
    </xf>
    <xf numFmtId="0" fontId="10" fillId="0" borderId="0" xfId="0" applyFont="1" applyBorder="1" applyAlignment="1">
      <alignment vertical="center" wrapText="1"/>
    </xf>
    <xf numFmtId="0" fontId="10" fillId="0" borderId="0" xfId="0" applyFont="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wrapText="1"/>
    </xf>
    <xf numFmtId="0" fontId="10" fillId="3" borderId="0" xfId="0" applyFont="1" applyFill="1" applyAlignment="1">
      <alignment vertical="top" wrapText="1"/>
    </xf>
    <xf numFmtId="0" fontId="10" fillId="0" borderId="0" xfId="0" applyFont="1" applyAlignment="1">
      <alignment vertical="top" wrapText="1"/>
    </xf>
    <xf numFmtId="0" fontId="10" fillId="0" borderId="0" xfId="0" applyFont="1" applyAlignment="1">
      <alignment vertical="top"/>
    </xf>
    <xf numFmtId="0" fontId="10" fillId="2" borderId="0" xfId="0" applyFont="1" applyFill="1" applyAlignment="1">
      <alignment vertical="top"/>
    </xf>
    <xf numFmtId="0" fontId="60" fillId="0" borderId="0" xfId="0" applyFont="1" applyFill="1" applyAlignment="1">
      <alignment horizontal="center" vertical="center" wrapText="1"/>
    </xf>
    <xf numFmtId="0" fontId="3" fillId="2" borderId="0" xfId="0" applyFont="1" applyFill="1" applyAlignment="1">
      <alignment horizontal="justify" wrapText="1"/>
    </xf>
    <xf numFmtId="0" fontId="3" fillId="2" borderId="0" xfId="0" applyFont="1" applyFill="1" applyAlignment="1">
      <alignment horizontal="justify"/>
    </xf>
    <xf numFmtId="0" fontId="10" fillId="0" borderId="0" xfId="0" applyFont="1" applyAlignment="1">
      <alignment horizontal="justify" vertical="top"/>
    </xf>
    <xf numFmtId="0" fontId="10" fillId="2" borderId="0" xfId="0" applyFont="1" applyFill="1" applyAlignment="1">
      <alignment horizontal="left"/>
    </xf>
    <xf numFmtId="0" fontId="10" fillId="2" borderId="0" xfId="0" applyFont="1" applyFill="1" applyAlignment="1">
      <alignment horizontal="justify"/>
    </xf>
    <xf numFmtId="0" fontId="10" fillId="2" borderId="0" xfId="0" applyFont="1" applyFill="1" applyAlignment="1">
      <alignment horizontal="justify" wrapText="1"/>
    </xf>
    <xf numFmtId="0" fontId="10" fillId="2" borderId="4" xfId="0" applyFont="1" applyFill="1" applyBorder="1" applyAlignment="1">
      <alignment horizontal="center" wrapText="1"/>
    </xf>
    <xf numFmtId="0" fontId="3" fillId="2" borderId="4" xfId="0" applyFont="1" applyFill="1" applyBorder="1" applyAlignment="1">
      <alignment horizontal="justify" vertical="top" wrapText="1"/>
    </xf>
    <xf numFmtId="0" fontId="3" fillId="0" borderId="4" xfId="0" applyFont="1" applyBorder="1" applyAlignment="1">
      <alignment vertical="top" wrapText="1"/>
    </xf>
    <xf numFmtId="168" fontId="3" fillId="2" borderId="0" xfId="0" applyNumberFormat="1" applyFont="1" applyFill="1" applyAlignment="1">
      <alignment horizontal="justify" vertical="top" wrapText="1"/>
    </xf>
    <xf numFmtId="0" fontId="8" fillId="0" borderId="0" xfId="0" applyFont="1" applyFill="1" applyAlignment="1">
      <alignment horizontal="justify" vertical="top" wrapText="1"/>
    </xf>
    <xf numFmtId="0" fontId="8" fillId="0" borderId="0" xfId="0" applyFont="1" applyFill="1" applyAlignment="1">
      <alignment horizontal="justify" vertical="top"/>
    </xf>
    <xf numFmtId="0" fontId="3" fillId="10" borderId="0" xfId="0" applyFont="1" applyFill="1" applyAlignment="1">
      <alignment vertical="top" wrapText="1"/>
    </xf>
    <xf numFmtId="0" fontId="3" fillId="2" borderId="0" xfId="0" applyFont="1" applyFill="1" applyBorder="1" applyAlignment="1">
      <alignment vertical="top" wrapText="1"/>
    </xf>
    <xf numFmtId="0" fontId="3" fillId="0" borderId="0" xfId="0" applyFont="1" applyAlignment="1">
      <alignment vertical="top" wrapText="1"/>
    </xf>
    <xf numFmtId="0" fontId="3" fillId="0" borderId="0" xfId="0" applyFont="1" applyBorder="1" applyAlignment="1">
      <alignment vertical="top" wrapText="1"/>
    </xf>
    <xf numFmtId="0" fontId="3" fillId="2" borderId="0" xfId="0" applyFont="1" applyFill="1" applyBorder="1" applyAlignment="1">
      <alignment horizontal="justify" vertical="top" wrapText="1"/>
    </xf>
    <xf numFmtId="0" fontId="3" fillId="2" borderId="0" xfId="0" applyFont="1" applyFill="1" applyBorder="1" applyAlignment="1">
      <alignment horizontal="justify"/>
    </xf>
    <xf numFmtId="0" fontId="10" fillId="2" borderId="0" xfId="0" applyFont="1" applyFill="1" applyBorder="1" applyAlignment="1">
      <alignment horizontal="justify"/>
    </xf>
    <xf numFmtId="0" fontId="17" fillId="10" borderId="0" xfId="0" applyFont="1" applyFill="1" applyAlignment="1">
      <alignment wrapText="1"/>
    </xf>
    <xf numFmtId="0" fontId="51" fillId="0" borderId="0" xfId="0" applyFont="1" applyAlignment="1">
      <alignment horizontal="justify"/>
    </xf>
    <xf numFmtId="0" fontId="3" fillId="2" borderId="0" xfId="0" applyFont="1" applyFill="1" applyAlignment="1">
      <alignment wrapText="1"/>
    </xf>
    <xf numFmtId="0" fontId="10" fillId="3" borderId="0" xfId="0" applyFont="1" applyFill="1" applyAlignment="1">
      <alignment wrapText="1"/>
    </xf>
    <xf numFmtId="0" fontId="10" fillId="10" borderId="0" xfId="0" applyFont="1" applyFill="1" applyAlignment="1">
      <alignment wrapText="1"/>
    </xf>
    <xf numFmtId="0" fontId="10" fillId="2" borderId="4" xfId="0" applyFont="1" applyFill="1" applyBorder="1" applyAlignment="1">
      <alignment horizontal="justify" wrapText="1"/>
    </xf>
    <xf numFmtId="0" fontId="8" fillId="3" borderId="0" xfId="0" applyFont="1" applyFill="1" applyAlignment="1">
      <alignment horizontal="justify" wrapText="1"/>
    </xf>
    <xf numFmtId="0" fontId="8" fillId="2" borderId="0" xfId="0" applyFont="1" applyFill="1" applyAlignment="1">
      <alignment horizontal="justify"/>
    </xf>
    <xf numFmtId="0" fontId="3" fillId="0" borderId="0" xfId="0" applyFont="1" applyAlignment="1">
      <alignment horizontal="left" vertical="top" wrapText="1"/>
    </xf>
    <xf numFmtId="0" fontId="10" fillId="2" borderId="0" xfId="0" applyFont="1" applyFill="1" applyAlignment="1">
      <alignment vertical="top" wrapText="1"/>
    </xf>
    <xf numFmtId="0" fontId="51" fillId="2" borderId="0" xfId="0" applyFont="1" applyFill="1" applyAlignment="1">
      <alignment horizontal="justify" vertical="top"/>
    </xf>
    <xf numFmtId="0" fontId="3" fillId="2" borderId="0" xfId="0" applyFont="1" applyFill="1" applyAlignment="1">
      <alignment horizontal="left" vertical="top"/>
    </xf>
    <xf numFmtId="0" fontId="3" fillId="2" borderId="0" xfId="0" applyFont="1" applyFill="1" applyBorder="1" applyAlignment="1">
      <alignment horizontal="left" vertical="top" wrapText="1"/>
    </xf>
    <xf numFmtId="0" fontId="4" fillId="2" borderId="0" xfId="0" applyFont="1" applyFill="1" applyAlignment="1">
      <alignment horizontal="justify" vertical="top"/>
    </xf>
    <xf numFmtId="0" fontId="3" fillId="3" borderId="0" xfId="0" applyFont="1" applyFill="1" applyAlignment="1">
      <alignment vertical="top" wrapText="1"/>
    </xf>
    <xf numFmtId="0" fontId="3" fillId="2" borderId="0" xfId="0" applyFont="1" applyFill="1" applyAlignment="1">
      <alignment vertical="top" wrapText="1"/>
    </xf>
    <xf numFmtId="0" fontId="3" fillId="2" borderId="4" xfId="0" applyFont="1" applyFill="1" applyBorder="1" applyAlignment="1">
      <alignment vertical="top" wrapText="1"/>
    </xf>
    <xf numFmtId="0" fontId="8" fillId="0" borderId="0" xfId="0" applyFont="1" applyAlignment="1">
      <alignment horizontal="justify" vertical="top" wrapText="1"/>
    </xf>
    <xf numFmtId="0" fontId="8" fillId="0" borderId="0" xfId="0" applyFont="1" applyAlignment="1">
      <alignment horizontal="justify" vertical="top"/>
    </xf>
    <xf numFmtId="0" fontId="3" fillId="10" borderId="0" xfId="0" applyFont="1" applyFill="1" applyAlignment="1">
      <alignment horizontal="justify" vertical="top" wrapText="1"/>
    </xf>
    <xf numFmtId="170" fontId="3" fillId="0" borderId="0" xfId="0" applyNumberFormat="1" applyFont="1" applyFill="1" applyBorder="1" applyAlignment="1">
      <alignment horizontal="center" vertical="center" wrapText="1"/>
    </xf>
    <xf numFmtId="170" fontId="3" fillId="11" borderId="0" xfId="0" applyNumberFormat="1" applyFont="1" applyFill="1" applyBorder="1" applyAlignment="1">
      <alignment horizontal="center" vertical="center" wrapText="1"/>
    </xf>
    <xf numFmtId="170" fontId="3" fillId="0" borderId="4" xfId="0" applyNumberFormat="1" applyFont="1" applyFill="1" applyBorder="1" applyAlignment="1">
      <alignment horizontal="center" vertical="center" wrapText="1"/>
    </xf>
    <xf numFmtId="0" fontId="3" fillId="10" borderId="0" xfId="0" applyFont="1" applyFill="1" applyAlignment="1">
      <alignment horizontal="center" vertical="top" wrapText="1"/>
    </xf>
    <xf numFmtId="0" fontId="10" fillId="0" borderId="0" xfId="0" applyFont="1" applyFill="1" applyAlignment="1">
      <alignment horizontal="justify" vertical="top"/>
    </xf>
    <xf numFmtId="0" fontId="3" fillId="2" borderId="4" xfId="0" applyFont="1" applyFill="1" applyBorder="1" applyAlignment="1">
      <alignment horizontal="left" vertical="top" wrapText="1"/>
    </xf>
    <xf numFmtId="0" fontId="35" fillId="10" borderId="0" xfId="0" applyFont="1" applyFill="1" applyAlignment="1">
      <alignment horizontal="center" vertical="top" wrapText="1"/>
    </xf>
    <xf numFmtId="0" fontId="35" fillId="10" borderId="0" xfId="0" applyFont="1" applyFill="1" applyAlignment="1">
      <alignment horizontal="center" vertical="top"/>
    </xf>
    <xf numFmtId="0" fontId="51" fillId="2" borderId="0" xfId="0" applyFont="1" applyFill="1" applyAlignment="1">
      <alignment horizontal="justify"/>
    </xf>
    <xf numFmtId="0" fontId="3" fillId="3" borderId="0" xfId="0" applyFont="1" applyFill="1" applyBorder="1" applyAlignment="1">
      <alignment horizontal="left" vertical="top" wrapText="1"/>
    </xf>
    <xf numFmtId="0" fontId="66" fillId="0" borderId="21" xfId="9" applyFont="1" applyBorder="1" applyAlignment="1">
      <alignment horizontal="left"/>
    </xf>
  </cellXfs>
  <cellStyles count="13">
    <cellStyle name="Comma" xfId="1" builtinId="3"/>
    <cellStyle name="Comma 2" xfId="7"/>
    <cellStyle name="Comma 3" xfId="11"/>
    <cellStyle name="Currency" xfId="8" builtinId="4"/>
    <cellStyle name="Currency 2" xfId="5"/>
    <cellStyle name="Currency 3" xfId="12"/>
    <cellStyle name="Normal" xfId="0" builtinId="0"/>
    <cellStyle name="Normal 2" xfId="3"/>
    <cellStyle name="Normal 3" xfId="4"/>
    <cellStyle name="Normal 4" xfId="9"/>
    <cellStyle name="Percent" xfId="2" builtinId="5"/>
    <cellStyle name="Percent 2" xfId="6"/>
    <cellStyle name="Percent 3" xfId="10"/>
  </cellStyles>
  <dxfs count="0"/>
  <tableStyles count="0" defaultTableStyle="TableStyleMedium9" defaultPivotStyle="PivotStyleLight16"/>
  <colors>
    <mruColors>
      <color rgb="FFFF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25400">
              <a:noFill/>
            </a:ln>
          </c:spPr>
          <c:invertIfNegative val="0"/>
          <c:dPt>
            <c:idx val="0"/>
            <c:invertIfNegative val="0"/>
            <c:bubble3D val="0"/>
            <c:spPr>
              <a:solidFill>
                <a:srgbClr val="FF0000"/>
              </a:solidFill>
              <a:ln w="25400">
                <a:noFill/>
              </a:ln>
            </c:spPr>
          </c:dPt>
          <c:dPt>
            <c:idx val="1"/>
            <c:invertIfNegative val="0"/>
            <c:bubble3D val="0"/>
            <c:spPr>
              <a:solidFill>
                <a:srgbClr val="FF0000"/>
              </a:solidFill>
              <a:ln w="25400">
                <a:noFill/>
              </a:ln>
            </c:spPr>
          </c:dPt>
          <c:dPt>
            <c:idx val="2"/>
            <c:invertIfNegative val="0"/>
            <c:bubble3D val="0"/>
            <c:spPr>
              <a:solidFill>
                <a:schemeClr val="bg1">
                  <a:lumMod val="75000"/>
                </a:schemeClr>
              </a:solidFill>
              <a:ln w="25400">
                <a:noFill/>
              </a:ln>
            </c:spPr>
          </c:dPt>
          <c:dPt>
            <c:idx val="3"/>
            <c:invertIfNegative val="0"/>
            <c:bubble3D val="0"/>
            <c:spPr>
              <a:solidFill>
                <a:schemeClr val="accent1">
                  <a:lumMod val="60000"/>
                  <a:lumOff val="40000"/>
                </a:schemeClr>
              </a:solidFill>
              <a:ln w="25400">
                <a:noFill/>
              </a:ln>
            </c:spPr>
          </c:dPt>
          <c:dPt>
            <c:idx val="4"/>
            <c:invertIfNegative val="0"/>
            <c:bubble3D val="0"/>
            <c:spPr>
              <a:solidFill>
                <a:schemeClr val="accent1">
                  <a:lumMod val="60000"/>
                  <a:lumOff val="40000"/>
                </a:schemeClr>
              </a:solidFill>
              <a:ln w="25400">
                <a:noFill/>
              </a:ln>
            </c:spPr>
          </c:dPt>
          <c:dPt>
            <c:idx val="5"/>
            <c:invertIfNegative val="0"/>
            <c:bubble3D val="0"/>
            <c:spPr>
              <a:solidFill>
                <a:schemeClr val="accent1">
                  <a:lumMod val="60000"/>
                  <a:lumOff val="40000"/>
                </a:schemeClr>
              </a:solidFill>
              <a:ln w="25400">
                <a:noFill/>
              </a:ln>
            </c:spPr>
          </c:dPt>
          <c:dLbls>
            <c:numFmt formatCode="#,##0.00" sourceLinked="0"/>
            <c:spPr>
              <a:noFill/>
              <a:ln>
                <a:noFill/>
              </a:ln>
              <a:effectLst/>
            </c:spPr>
            <c:txPr>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'8'!$E$12:$J$12</c:f>
              <c:strCache>
                <c:ptCount val="6"/>
                <c:pt idx="0">
                  <c:v>A2015/16</c:v>
                </c:pt>
                <c:pt idx="1">
                  <c:v>F2016/17</c:v>
                </c:pt>
                <c:pt idx="2">
                  <c:v>B2017/18</c:v>
                </c:pt>
                <c:pt idx="3">
                  <c:v>SRP2018/19</c:v>
                </c:pt>
                <c:pt idx="4">
                  <c:v>SRP2019/20</c:v>
                </c:pt>
                <c:pt idx="5">
                  <c:v>SRP2020/21</c:v>
                </c:pt>
              </c:strCache>
            </c:strRef>
          </c:cat>
          <c:val>
            <c:numRef>
              <c:f>'8'!$E$13:$J$13</c:f>
              <c:numCache>
                <c:formatCode>0.0</c:formatCode>
                <c:ptCount val="6"/>
                <c:pt idx="0">
                  <c:v>-2.8</c:v>
                </c:pt>
                <c:pt idx="1">
                  <c:v>-1.9219999999999999</c:v>
                </c:pt>
                <c:pt idx="2">
                  <c:v>1.0449999999999999</c:v>
                </c:pt>
                <c:pt idx="3">
                  <c:v>5.3979999999999997</c:v>
                </c:pt>
                <c:pt idx="4">
                  <c:v>-1.754</c:v>
                </c:pt>
                <c:pt idx="5">
                  <c:v>-1.57</c:v>
                </c:pt>
              </c:numCache>
            </c:numRef>
          </c:val>
        </c:ser>
        <c:dLbls>
          <c:showLegendKey val="0"/>
          <c:showVal val="0"/>
          <c:showCatName val="0"/>
          <c:showSerName val="0"/>
          <c:showPercent val="0"/>
          <c:showBubbleSize val="0"/>
        </c:dLbls>
        <c:gapWidth val="150"/>
        <c:axId val="-545824624"/>
        <c:axId val="-545803408"/>
      </c:barChart>
      <c:catAx>
        <c:axId val="-5458246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545803408"/>
        <c:crosses val="autoZero"/>
        <c:auto val="1"/>
        <c:lblAlgn val="ctr"/>
        <c:lblOffset val="100"/>
        <c:tickLblSkip val="1"/>
        <c:tickMarkSkip val="1"/>
        <c:noMultiLvlLbl val="0"/>
      </c:catAx>
      <c:valAx>
        <c:axId val="-545803408"/>
        <c:scaling>
          <c:orientation val="minMax"/>
          <c:max val="6"/>
          <c:min val="-4"/>
        </c:scaling>
        <c:delete val="0"/>
        <c:axPos val="l"/>
        <c:majorGridlines>
          <c:spPr>
            <a:ln w="3175">
              <a:solidFill>
                <a:srgbClr val="000000"/>
              </a:solidFill>
              <a:prstDash val="solid"/>
            </a:ln>
          </c:spPr>
        </c:majorGridlines>
        <c:title>
          <c:tx>
            <c:rich>
              <a:bodyPr rot="-5400000" vert="horz"/>
              <a:lstStyle/>
              <a:p>
                <a:pPr>
                  <a:defRPr/>
                </a:pPr>
                <a:r>
                  <a:rPr lang="en-US"/>
                  <a:t>Surplus / -deficit $M</a:t>
                </a:r>
              </a:p>
            </c:rich>
          </c:tx>
          <c:overlay val="0"/>
        </c:title>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545824624"/>
        <c:crosses val="autoZero"/>
        <c:crossBetween val="between"/>
        <c:majorUnit val="2"/>
        <c:minorUnit val="0.5"/>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1"/>
              <c:layout>
                <c:manualLayout>
                  <c:x val="2.3755860645624446E-2"/>
                  <c:y val="4.0493692613682832E-2"/>
                </c:manualLayout>
              </c:layout>
              <c:numFmt formatCode="\$#,##0.00" sourceLinked="0"/>
              <c:spPr/>
              <c:txPr>
                <a:bodyPr/>
                <a:lstStyle/>
                <a:p>
                  <a:pPr>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dLbl>
              <c:idx val="2"/>
              <c:layout>
                <c:manualLayout>
                  <c:x val="6.2871553426955745E-2"/>
                  <c:y val="-3.0523937672348012E-2"/>
                </c:manualLayout>
              </c:layout>
              <c:numFmt formatCode="\$#,##0.00" sourceLinked="0"/>
              <c:spPr/>
              <c:txPr>
                <a:bodyPr/>
                <a:lstStyle/>
                <a:p>
                  <a:pPr>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dLbl>
              <c:idx val="3"/>
              <c:layout>
                <c:manualLayout>
                  <c:x val="6.7040073599047584E-3"/>
                  <c:y val="-3.5443037974683951E-3"/>
                </c:manualLayout>
              </c:layout>
              <c:numFmt formatCode="\$#,##0.00" sourceLinked="0"/>
              <c:spPr/>
              <c:txPr>
                <a:bodyPr/>
                <a:lstStyle/>
                <a:p>
                  <a:pPr>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dLbl>
              <c:idx val="4"/>
              <c:layout>
                <c:manualLayout>
                  <c:x val="-3.038255269637687E-2"/>
                  <c:y val="-3.2108375693544695E-2"/>
                </c:manualLayout>
              </c:layout>
              <c:numFmt formatCode="\$#,##0.00" sourceLinked="0"/>
              <c:spPr/>
              <c:txPr>
                <a:bodyPr/>
                <a:lstStyle/>
                <a:p>
                  <a:pPr>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dLbl>
              <c:idx val="7"/>
              <c:layout>
                <c:manualLayout>
                  <c:x val="-4.2488681333733146E-2"/>
                  <c:y val="4.3984054232026969E-2"/>
                </c:manualLayout>
              </c:layout>
              <c:showLegendKey val="0"/>
              <c:showVal val="1"/>
              <c:showCatName val="1"/>
              <c:showSerName val="0"/>
              <c:showPercent val="0"/>
              <c:showBubbleSize val="0"/>
              <c:extLst>
                <c:ext xmlns:c15="http://schemas.microsoft.com/office/drawing/2012/chart" uri="{CE6537A1-D6FC-4f65-9D91-7224C49458BB}"/>
              </c:extLst>
            </c:dLbl>
            <c:numFmt formatCode="\$#,##0.00" sourceLinked="0"/>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'8'!$E$57:$M$57</c:f>
              <c:strCache>
                <c:ptCount val="9"/>
                <c:pt idx="0">
                  <c:v>Property and facilities</c:v>
                </c:pt>
                <c:pt idx="1">
                  <c:v>Capital works</c:v>
                </c:pt>
                <c:pt idx="2">
                  <c:v>Aged services</c:v>
                </c:pt>
                <c:pt idx="3">
                  <c:v>Family services</c:v>
                </c:pt>
                <c:pt idx="4">
                  <c:v>Parks and leisure</c:v>
                </c:pt>
                <c:pt idx="5">
                  <c:v>Arts, culture and libraries</c:v>
                </c:pt>
                <c:pt idx="6">
                  <c:v>Planning and amenity</c:v>
                </c:pt>
                <c:pt idx="7">
                  <c:v>Environment and waste</c:v>
                </c:pt>
                <c:pt idx="8">
                  <c:v>Roads and drainage</c:v>
                </c:pt>
              </c:strCache>
            </c:strRef>
          </c:cat>
          <c:val>
            <c:numRef>
              <c:f>'8'!$E$59:$M$59</c:f>
              <c:numCache>
                <c:formatCode>General</c:formatCode>
                <c:ptCount val="9"/>
                <c:pt idx="0">
                  <c:v>4.58</c:v>
                </c:pt>
                <c:pt idx="1">
                  <c:v>27.13</c:v>
                </c:pt>
                <c:pt idx="2">
                  <c:v>14.29</c:v>
                </c:pt>
                <c:pt idx="3">
                  <c:v>8.01</c:v>
                </c:pt>
                <c:pt idx="4">
                  <c:v>12.19</c:v>
                </c:pt>
                <c:pt idx="5">
                  <c:v>6.51</c:v>
                </c:pt>
                <c:pt idx="6">
                  <c:v>9.59</c:v>
                </c:pt>
                <c:pt idx="7">
                  <c:v>11.01</c:v>
                </c:pt>
                <c:pt idx="8">
                  <c:v>6.69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0000000000004" l="0.70000000000000062" r="0.70000000000000062" t="0.750000000000004"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01651029064687"/>
          <c:y val="0.13924072148301753"/>
          <c:w val="0.85569275536068812"/>
          <c:h val="0.76497549694400102"/>
        </c:manualLayout>
      </c:layout>
      <c:barChart>
        <c:barDir val="col"/>
        <c:grouping val="clustered"/>
        <c:varyColors val="0"/>
        <c:ser>
          <c:idx val="0"/>
          <c:order val="0"/>
          <c:tx>
            <c:v>Budget 17/18</c:v>
          </c:tx>
          <c:invertIfNegative val="0"/>
          <c:dLbls>
            <c:dLbl>
              <c:idx val="0"/>
              <c:layout>
                <c:manualLayout>
                  <c:x val="5.0330361597362316E-2"/>
                  <c:y val="3.5270451333443434E-2"/>
                </c:manualLayout>
              </c:layout>
              <c:tx>
                <c:rich>
                  <a:bodyPr/>
                  <a:lstStyle/>
                  <a:p>
                    <a:r>
                      <a:rPr lang="en-AU" sz="900">
                        <a:latin typeface="Arial" panose="020B0604020202020204" pitchFamily="34" charset="0"/>
                        <a:cs typeface="Arial" panose="020B0604020202020204" pitchFamily="34" charset="0"/>
                      </a:rPr>
                      <a:t>Rates &amp; 
charges</a:t>
                    </a:r>
                    <a:endParaRPr lang="en-AU"/>
                  </a:p>
                </c:rich>
              </c:tx>
              <c:dLblPos val="outEnd"/>
              <c:showLegendKey val="0"/>
              <c:showVal val="0"/>
              <c:showCatName val="0"/>
              <c:showSerName val="0"/>
              <c:showPercent val="0"/>
              <c:showBubbleSize val="0"/>
              <c:extLst>
                <c:ext xmlns:c15="http://schemas.microsoft.com/office/drawing/2012/chart" uri="{CE6537A1-D6FC-4f65-9D91-7224C49458BB}"/>
              </c:extLst>
            </c:dLbl>
            <c:dLbl>
              <c:idx val="1"/>
              <c:layout>
                <c:manualLayout>
                  <c:x val="6.5090787185014473E-3"/>
                  <c:y val="-2.1235344181907489E-2"/>
                </c:manualLayout>
              </c:layout>
              <c:tx>
                <c:rich>
                  <a:bodyPr/>
                  <a:lstStyle/>
                  <a:p>
                    <a:r>
                      <a:rPr lang="en-AU" sz="900">
                        <a:latin typeface="Arial" panose="020B0604020202020204" pitchFamily="34" charset="0"/>
                        <a:cs typeface="Arial" panose="020B0604020202020204" pitchFamily="34" charset="0"/>
                      </a:rPr>
                      <a:t>Stat fees</a:t>
                    </a:r>
                    <a:endParaRPr lang="en-AU"/>
                  </a:p>
                </c:rich>
              </c:tx>
              <c:dLblPos val="outEnd"/>
              <c:showLegendKey val="0"/>
              <c:showVal val="0"/>
              <c:showCatName val="0"/>
              <c:showSerName val="0"/>
              <c:showPercent val="0"/>
              <c:showBubbleSize val="0"/>
              <c:extLst>
                <c:ext xmlns:c15="http://schemas.microsoft.com/office/drawing/2012/chart" uri="{CE6537A1-D6FC-4f65-9D91-7224C49458BB}"/>
              </c:extLst>
            </c:dLbl>
            <c:dLbl>
              <c:idx val="2"/>
              <c:layout>
                <c:manualLayout>
                  <c:x val="5.4733141602916913E-3"/>
                  <c:y val="-1.883066202633378E-2"/>
                </c:manualLayout>
              </c:layout>
              <c:tx>
                <c:rich>
                  <a:bodyPr/>
                  <a:lstStyle/>
                  <a:p>
                    <a:r>
                      <a:rPr lang="en-AU" sz="900">
                        <a:latin typeface="Arial" panose="020B0604020202020204" pitchFamily="34" charset="0"/>
                        <a:cs typeface="Arial" panose="020B0604020202020204" pitchFamily="34" charset="0"/>
                      </a:rPr>
                      <a:t>User fees</a:t>
                    </a:r>
                    <a:endParaRPr lang="en-AU"/>
                  </a:p>
                </c:rich>
              </c:tx>
              <c:dLblPos val="outEnd"/>
              <c:showLegendKey val="0"/>
              <c:showVal val="0"/>
              <c:showCatName val="0"/>
              <c:showSerName val="0"/>
              <c:showPercent val="0"/>
              <c:showBubbleSize val="0"/>
              <c:extLst>
                <c:ext xmlns:c15="http://schemas.microsoft.com/office/drawing/2012/chart" uri="{CE6537A1-D6FC-4f65-9D91-7224C49458BB}"/>
              </c:extLst>
            </c:dLbl>
            <c:dLbl>
              <c:idx val="3"/>
              <c:layout>
                <c:manualLayout>
                  <c:x val="9.119324960413051E-3"/>
                  <c:y val="-1.5711322797937115E-2"/>
                </c:manualLayout>
              </c:layout>
              <c:tx>
                <c:rich>
                  <a:bodyPr/>
                  <a:lstStyle/>
                  <a:p>
                    <a:r>
                      <a:rPr lang="en-AU" sz="900">
                        <a:latin typeface="Arial" panose="020B0604020202020204" pitchFamily="34" charset="0"/>
                        <a:cs typeface="Arial" panose="020B0604020202020204" pitchFamily="34" charset="0"/>
                      </a:rPr>
                      <a:t>Contributions</a:t>
                    </a:r>
                    <a:endParaRPr lang="en-AU"/>
                  </a:p>
                </c:rich>
              </c:tx>
              <c:dLblPos val="outEnd"/>
              <c:showLegendKey val="0"/>
              <c:showVal val="0"/>
              <c:showCatName val="0"/>
              <c:showSerName val="0"/>
              <c:showPercent val="0"/>
              <c:showBubbleSize val="0"/>
              <c:extLst>
                <c:ext xmlns:c15="http://schemas.microsoft.com/office/drawing/2012/chart" uri="{CE6537A1-D6FC-4f65-9D91-7224C49458BB}"/>
              </c:extLst>
            </c:dLbl>
            <c:dLbl>
              <c:idx val="4"/>
              <c:layout>
                <c:manualLayout>
                  <c:x val="7.5348803164331834E-3"/>
                  <c:y val="2.3176936581379868E-3"/>
                </c:manualLayout>
              </c:layout>
              <c:tx>
                <c:rich>
                  <a:bodyPr/>
                  <a:lstStyle/>
                  <a:p>
                    <a:r>
                      <a:rPr lang="en-AU" sz="900">
                        <a:latin typeface="Arial" panose="020B0604020202020204" pitchFamily="34" charset="0"/>
                        <a:cs typeface="Arial" panose="020B0604020202020204" pitchFamily="34" charset="0"/>
                      </a:rPr>
                      <a:t>Grants - oper.</a:t>
                    </a:r>
                    <a:endParaRPr lang="en-AU"/>
                  </a:p>
                </c:rich>
              </c:tx>
              <c:dLblPos val="outEnd"/>
              <c:showLegendKey val="0"/>
              <c:showVal val="0"/>
              <c:showCatName val="0"/>
              <c:showSerName val="0"/>
              <c:showPercent val="0"/>
              <c:showBubbleSize val="0"/>
              <c:extLst>
                <c:ext xmlns:c15="http://schemas.microsoft.com/office/drawing/2012/chart" uri="{CE6537A1-D6FC-4f65-9D91-7224C49458BB}"/>
              </c:extLst>
            </c:dLbl>
            <c:dLbl>
              <c:idx val="5"/>
              <c:layout>
                <c:manualLayout>
                  <c:x val="7.4204464111407792E-3"/>
                  <c:y val="-3.5042490318080786E-2"/>
                </c:manualLayout>
              </c:layout>
              <c:tx>
                <c:rich>
                  <a:bodyPr/>
                  <a:lstStyle/>
                  <a:p>
                    <a:r>
                      <a:rPr lang="en-AU" sz="900">
                        <a:latin typeface="Arial" panose="020B0604020202020204" pitchFamily="34" charset="0"/>
                        <a:cs typeface="Arial" panose="020B0604020202020204" pitchFamily="34" charset="0"/>
                      </a:rPr>
                      <a:t>Grants - cap.</a:t>
                    </a:r>
                    <a:endParaRPr lang="en-AU"/>
                  </a:p>
                </c:rich>
              </c:tx>
              <c:dLblPos val="outEnd"/>
              <c:showLegendKey val="0"/>
              <c:showVal val="0"/>
              <c:showCatName val="0"/>
              <c:showSerName val="0"/>
              <c:showPercent val="0"/>
              <c:showBubbleSize val="0"/>
              <c:extLst>
                <c:ext xmlns:c15="http://schemas.microsoft.com/office/drawing/2012/chart" uri="{CE6537A1-D6FC-4f65-9D91-7224C49458BB}"/>
              </c:extLst>
            </c:dLbl>
            <c:dLbl>
              <c:idx val="6"/>
              <c:layout>
                <c:manualLayout>
                  <c:x val="7.1640653493742282E-3"/>
                  <c:y val="-1.8535958070724695E-2"/>
                </c:manualLayout>
              </c:layout>
              <c:tx>
                <c:rich>
                  <a:bodyPr/>
                  <a:lstStyle/>
                  <a:p>
                    <a:r>
                      <a:rPr lang="en-AU" sz="900">
                        <a:latin typeface="Arial" panose="020B0604020202020204" pitchFamily="34" charset="0"/>
                        <a:cs typeface="Arial" panose="020B0604020202020204" pitchFamily="34" charset="0"/>
                      </a:rPr>
                      <a:t>Net gain on sale</a:t>
                    </a:r>
                    <a:endParaRPr lang="en-AU"/>
                  </a:p>
                </c:rich>
              </c:tx>
              <c:dLblPos val="outEnd"/>
              <c:showLegendKey val="0"/>
              <c:showVal val="0"/>
              <c:showCatName val="0"/>
              <c:showSerName val="0"/>
              <c:showPercent val="0"/>
              <c:showBubbleSize val="0"/>
              <c:extLst>
                <c:ext xmlns:c15="http://schemas.microsoft.com/office/drawing/2012/chart" uri="{CE6537A1-D6FC-4f65-9D91-7224C49458BB}"/>
              </c:extLst>
            </c:dLbl>
            <c:dLbl>
              <c:idx val="7"/>
              <c:layout>
                <c:manualLayout>
                  <c:x val="2.1897138890696614E-2"/>
                  <c:y val="-4.8238900207403304E-3"/>
                </c:manualLayout>
              </c:layout>
              <c:tx>
                <c:rich>
                  <a:bodyPr/>
                  <a:lstStyle/>
                  <a:p>
                    <a:r>
                      <a:rPr lang="en-AU" sz="900">
                        <a:latin typeface="Arial" panose="020B0604020202020204" pitchFamily="34" charset="0"/>
                        <a:cs typeface="Arial" panose="020B0604020202020204" pitchFamily="34" charset="0"/>
                      </a:rPr>
                      <a:t>Other</a:t>
                    </a:r>
                    <a:endParaRPr lang="en-AU"/>
                  </a:p>
                </c:rich>
              </c:tx>
              <c:dLblPos val="outEnd"/>
              <c:showLegendKey val="0"/>
              <c:showVal val="0"/>
              <c:showCatName val="0"/>
              <c:showSerName val="0"/>
              <c:showPercent val="0"/>
              <c:showBubbleSize val="0"/>
              <c:extLst>
                <c:ext xmlns:c15="http://schemas.microsoft.com/office/drawing/2012/chart" uri="{CE6537A1-D6FC-4f65-9D91-7224C49458BB}"/>
              </c:extLst>
            </c:dLbl>
            <c:spPr>
              <a:noFill/>
              <a:ln>
                <a:noFill/>
              </a:ln>
              <a:effectLst/>
            </c:sp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'10'!$A$26:$A$33</c:f>
              <c:strCache>
                <c:ptCount val="8"/>
                <c:pt idx="0">
                  <c:v>Rates and charges</c:v>
                </c:pt>
                <c:pt idx="1">
                  <c:v>Statutory fees and fines</c:v>
                </c:pt>
                <c:pt idx="2">
                  <c:v>User fees</c:v>
                </c:pt>
                <c:pt idx="3">
                  <c:v>Contributions - monetary</c:v>
                </c:pt>
                <c:pt idx="4">
                  <c:v>Grants - operating</c:v>
                </c:pt>
                <c:pt idx="5">
                  <c:v>Grants - capital</c:v>
                </c:pt>
                <c:pt idx="6">
                  <c:v>Net gain on disposal of property, infrastructure, plant &amp; equipment</c:v>
                </c:pt>
                <c:pt idx="7">
                  <c:v>Other income</c:v>
                </c:pt>
              </c:strCache>
            </c:strRef>
          </c:cat>
          <c:val>
            <c:numRef>
              <c:f>'10'!$E$26:$E$33</c:f>
              <c:numCache>
                <c:formatCode>#,##0;\(#,##0\)</c:formatCode>
                <c:ptCount val="8"/>
                <c:pt idx="0">
                  <c:v>43457</c:v>
                </c:pt>
                <c:pt idx="1">
                  <c:v>2690</c:v>
                </c:pt>
                <c:pt idx="2">
                  <c:v>7680</c:v>
                </c:pt>
                <c:pt idx="3">
                  <c:v>51</c:v>
                </c:pt>
                <c:pt idx="4">
                  <c:v>13617</c:v>
                </c:pt>
                <c:pt idx="5">
                  <c:v>6277</c:v>
                </c:pt>
                <c:pt idx="6">
                  <c:v>539</c:v>
                </c:pt>
                <c:pt idx="7">
                  <c:v>3263</c:v>
                </c:pt>
              </c:numCache>
            </c:numRef>
          </c:val>
        </c:ser>
        <c:ser>
          <c:idx val="1"/>
          <c:order val="1"/>
          <c:tx>
            <c:v>Forecast 16/17</c:v>
          </c:tx>
          <c:invertIfNegative val="0"/>
          <c:cat>
            <c:strRef>
              <c:f>'10'!$A$26:$A$33</c:f>
              <c:strCache>
                <c:ptCount val="8"/>
                <c:pt idx="0">
                  <c:v>Rates and charges</c:v>
                </c:pt>
                <c:pt idx="1">
                  <c:v>Statutory fees and fines</c:v>
                </c:pt>
                <c:pt idx="2">
                  <c:v>User fees</c:v>
                </c:pt>
                <c:pt idx="3">
                  <c:v>Contributions - monetary</c:v>
                </c:pt>
                <c:pt idx="4">
                  <c:v>Grants - operating</c:v>
                </c:pt>
                <c:pt idx="5">
                  <c:v>Grants - capital</c:v>
                </c:pt>
                <c:pt idx="6">
                  <c:v>Net gain on disposal of property, infrastructure, plant &amp; equipment</c:v>
                </c:pt>
                <c:pt idx="7">
                  <c:v>Other income</c:v>
                </c:pt>
              </c:strCache>
            </c:strRef>
          </c:cat>
          <c:val>
            <c:numRef>
              <c:f>'10'!$D$26:$D$33</c:f>
              <c:numCache>
                <c:formatCode>#,##0;\(#,##0\)</c:formatCode>
                <c:ptCount val="8"/>
                <c:pt idx="0">
                  <c:v>41685</c:v>
                </c:pt>
                <c:pt idx="1">
                  <c:v>2445</c:v>
                </c:pt>
                <c:pt idx="2">
                  <c:v>6708</c:v>
                </c:pt>
                <c:pt idx="3">
                  <c:v>661</c:v>
                </c:pt>
                <c:pt idx="4">
                  <c:v>14523</c:v>
                </c:pt>
                <c:pt idx="5">
                  <c:v>2903</c:v>
                </c:pt>
                <c:pt idx="6">
                  <c:v>823</c:v>
                </c:pt>
                <c:pt idx="7">
                  <c:v>2823</c:v>
                </c:pt>
              </c:numCache>
            </c:numRef>
          </c:val>
        </c:ser>
        <c:dLbls>
          <c:showLegendKey val="0"/>
          <c:showVal val="0"/>
          <c:showCatName val="0"/>
          <c:showSerName val="0"/>
          <c:showPercent val="0"/>
          <c:showBubbleSize val="0"/>
        </c:dLbls>
        <c:gapWidth val="150"/>
        <c:axId val="-545805584"/>
        <c:axId val="-545825712"/>
      </c:barChart>
      <c:catAx>
        <c:axId val="-545805584"/>
        <c:scaling>
          <c:orientation val="minMax"/>
        </c:scaling>
        <c:delete val="0"/>
        <c:axPos val="b"/>
        <c:numFmt formatCode="General" sourceLinked="0"/>
        <c:majorTickMark val="none"/>
        <c:minorTickMark val="none"/>
        <c:tickLblPos val="none"/>
        <c:crossAx val="-545825712"/>
        <c:crosses val="autoZero"/>
        <c:auto val="1"/>
        <c:lblAlgn val="ctr"/>
        <c:lblOffset val="100"/>
        <c:tickMarkSkip val="1"/>
        <c:noMultiLvlLbl val="0"/>
      </c:catAx>
      <c:valAx>
        <c:axId val="-545825712"/>
        <c:scaling>
          <c:orientation val="minMax"/>
          <c:max val="50000"/>
          <c:min val="0"/>
        </c:scaling>
        <c:delete val="0"/>
        <c:axPos val="l"/>
        <c:majorGridlines/>
        <c:title>
          <c:tx>
            <c:rich>
              <a:bodyPr rot="0" vert="horz"/>
              <a:lstStyle/>
              <a:p>
                <a:pPr>
                  <a:defRPr/>
                </a:pPr>
                <a:r>
                  <a:rPr lang="en-AU"/>
                  <a:t>$'000</a:t>
                </a:r>
              </a:p>
            </c:rich>
          </c:tx>
          <c:layout>
            <c:manualLayout>
              <c:xMode val="edge"/>
              <c:yMode val="edge"/>
              <c:x val="6.0975935902749002E-2"/>
              <c:y val="1.5822917240240073E-2"/>
            </c:manualLayout>
          </c:layout>
          <c:overlay val="0"/>
        </c:title>
        <c:numFmt formatCode="#,##0" sourceLinked="0"/>
        <c:majorTickMark val="out"/>
        <c:minorTickMark val="none"/>
        <c:tickLblPos val="nextTo"/>
        <c:txPr>
          <a:bodyPr rot="0" vert="horz"/>
          <a:lstStyle/>
          <a:p>
            <a:pPr>
              <a:defRPr/>
            </a:pPr>
            <a:endParaRPr lang="en-US"/>
          </a:p>
        </c:txPr>
        <c:crossAx val="-545805584"/>
        <c:crosses val="autoZero"/>
        <c:crossBetween val="between"/>
        <c:majorUnit val="10000"/>
      </c:valAx>
    </c:plotArea>
    <c:legend>
      <c:legendPos val="b"/>
      <c:layout>
        <c:manualLayout>
          <c:xMode val="edge"/>
          <c:yMode val="edge"/>
          <c:x val="0.63673479762398277"/>
          <c:y val="0.17329956133105739"/>
          <c:w val="0.33770962840171276"/>
          <c:h val="7.10797863553769E-2"/>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alignWithMargins="0"/>
    <c:pageMargins b="1" l="0.750000000000004" r="0.750000000000004" t="1" header="0.5" footer="0.5"/>
    <c:pageSetup paperSize="9"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14754098360637"/>
          <c:y val="0.11986321413342475"/>
          <c:w val="0.86065573770491965"/>
          <c:h val="0.81849422931722571"/>
        </c:manualLayout>
      </c:layout>
      <c:barChart>
        <c:barDir val="col"/>
        <c:grouping val="clustered"/>
        <c:varyColors val="0"/>
        <c:ser>
          <c:idx val="0"/>
          <c:order val="0"/>
          <c:tx>
            <c:v>Budget 17/18</c:v>
          </c:tx>
          <c:invertIfNegative val="0"/>
          <c:dLbls>
            <c:dLbl>
              <c:idx val="0"/>
              <c:layout>
                <c:manualLayout>
                  <c:x val="1.3186054172378251E-2"/>
                  <c:y val="1.0317477438607803E-2"/>
                </c:manualLayout>
              </c:layout>
              <c:tx>
                <c:rich>
                  <a:bodyPr/>
                  <a:lstStyle/>
                  <a:p>
                    <a:r>
                      <a:rPr lang="en-AU" sz="900">
                        <a:latin typeface="Arial" panose="020B0604020202020204" pitchFamily="34" charset="0"/>
                        <a:cs typeface="Arial" panose="020B0604020202020204" pitchFamily="34" charset="0"/>
                      </a:rPr>
                      <a:t>Emp.
costs</a:t>
                    </a:r>
                    <a:endParaRPr lang="en-AU"/>
                  </a:p>
                </c:rich>
              </c:tx>
              <c:dLblPos val="outEnd"/>
              <c:showLegendKey val="0"/>
              <c:showVal val="0"/>
              <c:showCatName val="0"/>
              <c:showSerName val="0"/>
              <c:showPercent val="0"/>
              <c:showBubbleSize val="0"/>
              <c:extLst>
                <c:ext xmlns:c15="http://schemas.microsoft.com/office/drawing/2012/chart" uri="{CE6537A1-D6FC-4f65-9D91-7224C49458BB}"/>
              </c:extLst>
            </c:dLbl>
            <c:dLbl>
              <c:idx val="1"/>
              <c:layout>
                <c:manualLayout>
                  <c:x val="1.803585280584866E-2"/>
                  <c:y val="-1.416927336137778E-2"/>
                </c:manualLayout>
              </c:layout>
              <c:tx>
                <c:rich>
                  <a:bodyPr/>
                  <a:lstStyle/>
                  <a:p>
                    <a:r>
                      <a:rPr lang="en-AU" sz="900">
                        <a:latin typeface="Arial" panose="020B0604020202020204" pitchFamily="34" charset="0"/>
                        <a:cs typeface="Arial" panose="020B0604020202020204" pitchFamily="34" charset="0"/>
                      </a:rPr>
                      <a:t>Mat &amp;
serv</a:t>
                    </a:r>
                    <a:endParaRPr lang="en-AU"/>
                  </a:p>
                </c:rich>
              </c:tx>
              <c:dLblPos val="outEnd"/>
              <c:showLegendKey val="0"/>
              <c:showVal val="0"/>
              <c:showCatName val="0"/>
              <c:showSerName val="0"/>
              <c:showPercent val="0"/>
              <c:showBubbleSize val="0"/>
              <c:extLst>
                <c:ext xmlns:c15="http://schemas.microsoft.com/office/drawing/2012/chart" uri="{CE6537A1-D6FC-4f65-9D91-7224C49458BB}"/>
              </c:extLst>
            </c:dLbl>
            <c:dLbl>
              <c:idx val="2"/>
              <c:layout>
                <c:manualLayout>
                  <c:x val="2.1213937326660225E-2"/>
                  <c:y val="-2.2782871319167296E-2"/>
                </c:manualLayout>
              </c:layout>
              <c:tx>
                <c:rich>
                  <a:bodyPr/>
                  <a:lstStyle/>
                  <a:p>
                    <a:r>
                      <a:rPr lang="en-AU" sz="900">
                        <a:latin typeface="Arial" panose="020B0604020202020204" pitchFamily="34" charset="0"/>
                        <a:cs typeface="Arial" panose="020B0604020202020204" pitchFamily="34" charset="0"/>
                      </a:rPr>
                      <a:t>Bad &amp; 
D/Debts</a:t>
                    </a:r>
                    <a:endParaRPr lang="en-AU"/>
                  </a:p>
                </c:rich>
              </c:tx>
              <c:dLblPos val="outEnd"/>
              <c:showLegendKey val="0"/>
              <c:showVal val="0"/>
              <c:showCatName val="0"/>
              <c:showSerName val="0"/>
              <c:showPercent val="0"/>
              <c:showBubbleSize val="0"/>
              <c:extLst>
                <c:ext xmlns:c15="http://schemas.microsoft.com/office/drawing/2012/chart" uri="{CE6537A1-D6FC-4f65-9D91-7224C49458BB}"/>
              </c:extLst>
            </c:dLbl>
            <c:dLbl>
              <c:idx val="3"/>
              <c:layout>
                <c:manualLayout>
                  <c:x val="1.7393605151582777E-2"/>
                  <c:y val="-1.4928270952432321E-3"/>
                </c:manualLayout>
              </c:layout>
              <c:tx>
                <c:rich>
                  <a:bodyPr/>
                  <a:lstStyle/>
                  <a:p>
                    <a:r>
                      <a:rPr lang="en-AU" sz="900">
                        <a:latin typeface="Arial" panose="020B0604020202020204" pitchFamily="34" charset="0"/>
                        <a:cs typeface="Arial" panose="020B0604020202020204" pitchFamily="34" charset="0"/>
                      </a:rPr>
                      <a:t>Deprec'n</a:t>
                    </a:r>
                    <a:endParaRPr lang="en-AU"/>
                  </a:p>
                </c:rich>
              </c:tx>
              <c:dLblPos val="outEnd"/>
              <c:showLegendKey val="0"/>
              <c:showVal val="0"/>
              <c:showCatName val="0"/>
              <c:showSerName val="0"/>
              <c:showPercent val="0"/>
              <c:showBubbleSize val="0"/>
              <c:extLst>
                <c:ext xmlns:c15="http://schemas.microsoft.com/office/drawing/2012/chart" uri="{CE6537A1-D6FC-4f65-9D91-7224C49458BB}"/>
              </c:extLst>
            </c:dLbl>
            <c:dLbl>
              <c:idx val="4"/>
              <c:layout>
                <c:manualLayout>
                  <c:x val="1.7332185703507762E-2"/>
                  <c:y val="-1.4806385503181965E-2"/>
                </c:manualLayout>
              </c:layout>
              <c:tx>
                <c:rich>
                  <a:bodyPr/>
                  <a:lstStyle/>
                  <a:p>
                    <a:r>
                      <a:rPr lang="en-AU" sz="900">
                        <a:latin typeface="Arial" panose="020B0604020202020204" pitchFamily="34" charset="0"/>
                        <a:cs typeface="Arial" panose="020B0604020202020204" pitchFamily="34" charset="0"/>
                      </a:rPr>
                      <a:t>Borrowing 
costs</a:t>
                    </a:r>
                    <a:endParaRPr lang="en-AU"/>
                  </a:p>
                </c:rich>
              </c:tx>
              <c:dLblPos val="outEnd"/>
              <c:showLegendKey val="0"/>
              <c:showVal val="0"/>
              <c:showCatName val="0"/>
              <c:showSerName val="0"/>
              <c:showPercent val="0"/>
              <c:showBubbleSize val="0"/>
              <c:extLst>
                <c:ext xmlns:c15="http://schemas.microsoft.com/office/drawing/2012/chart" uri="{CE6537A1-D6FC-4f65-9D91-7224C49458BB}"/>
              </c:extLst>
            </c:dLbl>
            <c:dLbl>
              <c:idx val="5"/>
              <c:layout>
                <c:manualLayout>
                  <c:x val="1.6922226826909793E-2"/>
                  <c:y val="-2.4925394599647648E-2"/>
                </c:manualLayout>
              </c:layout>
              <c:tx>
                <c:rich>
                  <a:bodyPr/>
                  <a:lstStyle/>
                  <a:p>
                    <a:r>
                      <a:rPr lang="en-AU" sz="900">
                        <a:latin typeface="Arial" panose="020B0604020202020204" pitchFamily="34" charset="0"/>
                        <a:cs typeface="Arial" panose="020B0604020202020204" pitchFamily="34" charset="0"/>
                      </a:rPr>
                      <a:t>Other
exp's</a:t>
                    </a:r>
                    <a:endParaRPr lang="en-AU"/>
                  </a:p>
                </c:rich>
              </c:tx>
              <c:dLblPos val="outEnd"/>
              <c:showLegendKey val="0"/>
              <c:showVal val="0"/>
              <c:showCatName val="0"/>
              <c:showSerName val="0"/>
              <c:showPercent val="0"/>
              <c:showBubbleSize val="0"/>
              <c:extLst>
                <c:ext xmlns:c15="http://schemas.microsoft.com/office/drawing/2012/chart" uri="{CE6537A1-D6FC-4f65-9D91-7224C49458BB}"/>
              </c:extLst>
            </c:dLbl>
            <c:dLbl>
              <c:idx val="6"/>
              <c:layout>
                <c:manualLayout>
                  <c:xMode val="edge"/>
                  <c:yMode val="edge"/>
                  <c:x val="0.75819672131147564"/>
                  <c:y val="0.23972642826684951"/>
                </c:manualLayout>
              </c:layout>
              <c:tx>
                <c:rich>
                  <a:bodyPr/>
                  <a:lstStyle/>
                  <a:p>
                    <a:r>
                      <a:rPr sz="900">
                        <a:latin typeface="Arial" panose="020B0604020202020204" pitchFamily="34" charset="0"/>
                        <a:cs typeface="Arial" panose="020B0604020202020204" pitchFamily="34" charset="0"/>
                      </a:rPr>
                      <a:t>Other</a:t>
                    </a:r>
                    <a:endParaRPr/>
                  </a:p>
                </c:rich>
              </c:tx>
              <c:dLblPos val="outEnd"/>
              <c:showLegendKey val="0"/>
              <c:showVal val="0"/>
              <c:showCatName val="0"/>
              <c:showSerName val="0"/>
              <c:showPercent val="0"/>
              <c:showBubbleSize val="0"/>
              <c:extLst>
                <c:ext xmlns:c15="http://schemas.microsoft.com/office/drawing/2012/chart" uri="{CE6537A1-D6FC-4f65-9D91-7224C49458BB}"/>
              </c:extLst>
            </c:dLbl>
            <c:dLbl>
              <c:idx val="7"/>
              <c:layout>
                <c:manualLayout>
                  <c:xMode val="edge"/>
                  <c:yMode val="edge"/>
                  <c:x val="0.76639344262295084"/>
                  <c:y val="0.35616497913932277"/>
                </c:manualLayout>
              </c:layout>
              <c:tx>
                <c:rich>
                  <a:bodyPr/>
                  <a:lstStyle/>
                  <a:p>
                    <a:r>
                      <a:rPr sz="900">
                        <a:latin typeface="Arial" panose="020B0604020202020204" pitchFamily="34" charset="0"/>
                        <a:cs typeface="Arial" panose="020B0604020202020204" pitchFamily="34" charset="0"/>
                      </a:rPr>
                      <a:t>Other 
exp</a:t>
                    </a:r>
                    <a:endParaRPr/>
                  </a:p>
                </c:rich>
              </c:tx>
              <c:dLblPos val="outEnd"/>
              <c:showLegendKey val="0"/>
              <c:showVal val="0"/>
              <c:showCatName val="0"/>
              <c:showSerName val="0"/>
              <c:showPercent val="0"/>
              <c:showBubbleSize val="0"/>
              <c:extLst>
                <c:ext xmlns:c15="http://schemas.microsoft.com/office/drawing/2012/chart" uri="{CE6537A1-D6FC-4f65-9D91-7224C49458BB}"/>
              </c:extLst>
            </c:dLbl>
            <c:spPr>
              <a:noFill/>
              <a:ln>
                <a:noFill/>
              </a:ln>
              <a:effectLst/>
            </c:sp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'10'!$A$73:$A$78</c:f>
              <c:strCache>
                <c:ptCount val="6"/>
                <c:pt idx="0">
                  <c:v>Employee costs</c:v>
                </c:pt>
                <c:pt idx="1">
                  <c:v>Materials and services</c:v>
                </c:pt>
                <c:pt idx="2">
                  <c:v>Bad and doubtful debts</c:v>
                </c:pt>
                <c:pt idx="3">
                  <c:v>Depreciation and amortisation</c:v>
                </c:pt>
                <c:pt idx="4">
                  <c:v>Borrowing costs</c:v>
                </c:pt>
                <c:pt idx="5">
                  <c:v>Other expenses</c:v>
                </c:pt>
              </c:strCache>
            </c:strRef>
          </c:cat>
          <c:val>
            <c:numRef>
              <c:f>'10'!$E$73:$E$78</c:f>
              <c:numCache>
                <c:formatCode>#,##0;\(#,##0\)</c:formatCode>
                <c:ptCount val="6"/>
                <c:pt idx="0">
                  <c:v>34091</c:v>
                </c:pt>
                <c:pt idx="1">
                  <c:v>22107</c:v>
                </c:pt>
                <c:pt idx="2">
                  <c:v>340</c:v>
                </c:pt>
                <c:pt idx="3">
                  <c:v>14500</c:v>
                </c:pt>
                <c:pt idx="4">
                  <c:v>312</c:v>
                </c:pt>
                <c:pt idx="5">
                  <c:v>5179</c:v>
                </c:pt>
              </c:numCache>
            </c:numRef>
          </c:val>
        </c:ser>
        <c:ser>
          <c:idx val="1"/>
          <c:order val="1"/>
          <c:tx>
            <c:v>Forecast 16/17</c:v>
          </c:tx>
          <c:invertIfNegative val="0"/>
          <c:cat>
            <c:strRef>
              <c:f>'10'!$A$73:$A$78</c:f>
              <c:strCache>
                <c:ptCount val="6"/>
                <c:pt idx="0">
                  <c:v>Employee costs</c:v>
                </c:pt>
                <c:pt idx="1">
                  <c:v>Materials and services</c:v>
                </c:pt>
                <c:pt idx="2">
                  <c:v>Bad and doubtful debts</c:v>
                </c:pt>
                <c:pt idx="3">
                  <c:v>Depreciation and amortisation</c:v>
                </c:pt>
                <c:pt idx="4">
                  <c:v>Borrowing costs</c:v>
                </c:pt>
                <c:pt idx="5">
                  <c:v>Other expenses</c:v>
                </c:pt>
              </c:strCache>
            </c:strRef>
          </c:cat>
          <c:val>
            <c:numRef>
              <c:f>'10'!$D$73:$D$78</c:f>
              <c:numCache>
                <c:formatCode>#,##0;\(#,##0\)</c:formatCode>
                <c:ptCount val="6"/>
                <c:pt idx="0">
                  <c:v>31541</c:v>
                </c:pt>
                <c:pt idx="1">
                  <c:v>22937</c:v>
                </c:pt>
                <c:pt idx="2">
                  <c:v>314</c:v>
                </c:pt>
                <c:pt idx="3">
                  <c:v>14034</c:v>
                </c:pt>
                <c:pt idx="4">
                  <c:v>380</c:v>
                </c:pt>
                <c:pt idx="5">
                  <c:v>5287</c:v>
                </c:pt>
              </c:numCache>
            </c:numRef>
          </c:val>
        </c:ser>
        <c:dLbls>
          <c:showLegendKey val="0"/>
          <c:showVal val="0"/>
          <c:showCatName val="0"/>
          <c:showSerName val="0"/>
          <c:showPercent val="0"/>
          <c:showBubbleSize val="0"/>
        </c:dLbls>
        <c:gapWidth val="150"/>
        <c:axId val="-1240752480"/>
        <c:axId val="-1240749216"/>
      </c:barChart>
      <c:catAx>
        <c:axId val="-1240752480"/>
        <c:scaling>
          <c:orientation val="minMax"/>
        </c:scaling>
        <c:delete val="0"/>
        <c:axPos val="b"/>
        <c:numFmt formatCode="General" sourceLinked="0"/>
        <c:majorTickMark val="none"/>
        <c:minorTickMark val="none"/>
        <c:tickLblPos val="none"/>
        <c:crossAx val="-1240749216"/>
        <c:crosses val="autoZero"/>
        <c:auto val="1"/>
        <c:lblAlgn val="ctr"/>
        <c:lblOffset val="100"/>
        <c:tickMarkSkip val="1"/>
        <c:noMultiLvlLbl val="0"/>
      </c:catAx>
      <c:valAx>
        <c:axId val="-1240749216"/>
        <c:scaling>
          <c:orientation val="minMax"/>
          <c:max val="40000"/>
          <c:min val="0"/>
        </c:scaling>
        <c:delete val="0"/>
        <c:axPos val="l"/>
        <c:majorGridlines/>
        <c:title>
          <c:tx>
            <c:rich>
              <a:bodyPr rot="0" vert="horz"/>
              <a:lstStyle/>
              <a:p>
                <a:pPr>
                  <a:defRPr/>
                </a:pPr>
                <a:r>
                  <a:rPr lang="en-AU"/>
                  <a:t>$'000</a:t>
                </a:r>
              </a:p>
            </c:rich>
          </c:tx>
          <c:layout>
            <c:manualLayout>
              <c:xMode val="edge"/>
              <c:yMode val="edge"/>
              <c:x val="6.352463673999513E-2"/>
              <c:y val="1.7123287671232879E-2"/>
            </c:manualLayout>
          </c:layout>
          <c:overlay val="0"/>
        </c:title>
        <c:numFmt formatCode="#,##0" sourceLinked="0"/>
        <c:majorTickMark val="out"/>
        <c:minorTickMark val="none"/>
        <c:tickLblPos val="nextTo"/>
        <c:txPr>
          <a:bodyPr rot="0" vert="horz"/>
          <a:lstStyle/>
          <a:p>
            <a:pPr>
              <a:defRPr/>
            </a:pPr>
            <a:endParaRPr lang="en-US"/>
          </a:p>
        </c:txPr>
        <c:crossAx val="-1240752480"/>
        <c:crosses val="autoZero"/>
        <c:crossBetween val="between"/>
        <c:majorUnit val="10000"/>
      </c:valAx>
    </c:plotArea>
    <c:legend>
      <c:legendPos val="b"/>
      <c:layout>
        <c:manualLayout>
          <c:xMode val="edge"/>
          <c:yMode val="edge"/>
          <c:x val="0.6579332738046928"/>
          <c:y val="0.16324344730881243"/>
          <c:w val="0.33087339340314476"/>
          <c:h val="6.9619242800129433E-2"/>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alignWithMargins="0"/>
    <c:pageMargins b="1" l="0.750000000000004" r="0.750000000000004"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Budgeted income 2017/2018</a:t>
            </a:r>
          </a:p>
        </c:rich>
      </c:tx>
      <c:layout>
        <c:manualLayout>
          <c:xMode val="edge"/>
          <c:yMode val="edge"/>
          <c:x val="0.63791985331977252"/>
          <c:y val="0.91814607766174261"/>
        </c:manualLayout>
      </c:layout>
      <c:overlay val="0"/>
    </c:title>
    <c:autoTitleDeleted val="0"/>
    <c:plotArea>
      <c:layout>
        <c:manualLayout>
          <c:layoutTarget val="inner"/>
          <c:xMode val="edge"/>
          <c:yMode val="edge"/>
          <c:x val="0.21053635767734619"/>
          <c:y val="0.18278503648582475"/>
          <c:w val="0.59790409753799567"/>
          <c:h val="0.70138732658417891"/>
        </c:manualLayout>
      </c:layout>
      <c:doughnutChart>
        <c:varyColors val="1"/>
        <c:ser>
          <c:idx val="0"/>
          <c:order val="0"/>
          <c:dLbls>
            <c:dLbl>
              <c:idx val="0"/>
              <c:layout>
                <c:manualLayout>
                  <c:x val="0.11553476689219591"/>
                  <c:y val="0.17624608670904152"/>
                </c:manualLayout>
              </c:layout>
              <c:numFmt formatCode="0%" sourceLinked="0"/>
              <c:spPr/>
              <c:txPr>
                <a:bodyPr/>
                <a:lstStyle/>
                <a:p>
                  <a:pPr>
                    <a:defRPr/>
                  </a:pPr>
                  <a:endParaRPr lang="en-US"/>
                </a:p>
              </c:txPr>
              <c:showLegendKey val="0"/>
              <c:showVal val="0"/>
              <c:showCatName val="1"/>
              <c:showSerName val="0"/>
              <c:showPercent val="1"/>
              <c:showBubbleSize val="0"/>
              <c:extLst>
                <c:ext xmlns:c15="http://schemas.microsoft.com/office/drawing/2012/chart" uri="{CE6537A1-D6FC-4f65-9D91-7224C49458BB}"/>
              </c:extLst>
            </c:dLbl>
            <c:dLbl>
              <c:idx val="1"/>
              <c:layout>
                <c:manualLayout>
                  <c:x val="-5.8748403575989767E-2"/>
                  <c:y val="0.15300546448087493"/>
                </c:manualLayout>
              </c:layout>
              <c:tx>
                <c:rich>
                  <a:bodyPr/>
                  <a:lstStyle/>
                  <a:p>
                    <a:pPr>
                      <a:defRPr/>
                    </a:pPr>
                    <a:r>
                      <a:rPr lang="en-US"/>
                      <a:t>Stat fees and fines
3%</a:t>
                    </a:r>
                  </a:p>
                </c:rich>
              </c:tx>
              <c:numFmt formatCode="0%" sourceLinked="0"/>
              <c:spPr/>
              <c:showLegendKey val="0"/>
              <c:showVal val="0"/>
              <c:showCatName val="0"/>
              <c:showSerName val="0"/>
              <c:showPercent val="0"/>
              <c:showBubbleSize val="0"/>
              <c:extLst>
                <c:ext xmlns:c15="http://schemas.microsoft.com/office/drawing/2012/chart" uri="{CE6537A1-D6FC-4f65-9D91-7224C49458BB}"/>
              </c:extLst>
            </c:dLbl>
            <c:dLbl>
              <c:idx val="2"/>
              <c:layout>
                <c:manualLayout>
                  <c:x val="-0.14050935612786744"/>
                  <c:y val="5.9174335135818913E-2"/>
                </c:manualLayout>
              </c:layout>
              <c:numFmt formatCode="0%" sourceLinked="0"/>
              <c:spPr/>
              <c:txPr>
                <a:bodyPr/>
                <a:lstStyle/>
                <a:p>
                  <a:pPr>
                    <a:defRPr/>
                  </a:pPr>
                  <a:endParaRPr lang="en-US"/>
                </a:p>
              </c:txPr>
              <c:showLegendKey val="0"/>
              <c:showVal val="0"/>
              <c:showCatName val="1"/>
              <c:showSerName val="0"/>
              <c:showPercent val="1"/>
              <c:showBubbleSize val="0"/>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0.14901550806530572"/>
                  <c:y val="-6.7499920943617356E-2"/>
                </c:manualLayout>
              </c:layout>
              <c:numFmt formatCode="0%" sourceLinked="0"/>
              <c:spPr/>
              <c:txPr>
                <a:bodyPr/>
                <a:lstStyle/>
                <a:p>
                  <a:pPr>
                    <a:defRPr/>
                  </a:pPr>
                  <a:endParaRPr lang="en-US"/>
                </a:p>
              </c:txPr>
              <c:showLegendKey val="0"/>
              <c:showVal val="0"/>
              <c:showCatName val="1"/>
              <c:showSerName val="0"/>
              <c:showPercent val="1"/>
              <c:showBubbleSize val="0"/>
              <c:extLst>
                <c:ext xmlns:c15="http://schemas.microsoft.com/office/drawing/2012/chart" uri="{CE6537A1-D6FC-4f65-9D91-7224C49458BB}"/>
              </c:extLst>
            </c:dLbl>
            <c:dLbl>
              <c:idx val="5"/>
              <c:layout>
                <c:manualLayout>
                  <c:x val="-9.5363758717969732E-2"/>
                  <c:y val="-0.10319134806944312"/>
                </c:manualLayout>
              </c:layout>
              <c:numFmt formatCode="0%" sourceLinked="0"/>
              <c:spPr/>
              <c:txPr>
                <a:bodyPr/>
                <a:lstStyle/>
                <a:p>
                  <a:pPr>
                    <a:defRPr/>
                  </a:pPr>
                  <a:endParaRPr lang="en-US"/>
                </a:p>
              </c:txPr>
              <c:showLegendKey val="0"/>
              <c:showVal val="0"/>
              <c:showCatName val="1"/>
              <c:showSerName val="0"/>
              <c:showPercent val="1"/>
              <c:showBubbleSize val="0"/>
              <c:extLst>
                <c:ext xmlns:c15="http://schemas.microsoft.com/office/drawing/2012/chart" uri="{CE6537A1-D6FC-4f65-9D91-7224C49458BB}"/>
              </c:extLst>
            </c:dLbl>
            <c:dLbl>
              <c:idx val="6"/>
              <c:layout>
                <c:manualLayout>
                  <c:x val="-3.1518690864959252E-2"/>
                  <c:y val="-0.18910603042089694"/>
                </c:manualLayout>
              </c:layout>
              <c:tx>
                <c:rich>
                  <a:bodyPr/>
                  <a:lstStyle/>
                  <a:p>
                    <a:pPr>
                      <a:defRPr/>
                    </a:pPr>
                    <a:r>
                      <a:rPr lang="en-AU"/>
                      <a:t>Net gain</a:t>
                    </a:r>
                  </a:p>
                  <a:p>
                    <a:pPr>
                      <a:defRPr/>
                    </a:pPr>
                    <a:r>
                      <a:rPr lang="en-AU"/>
                      <a:t> on disposal
1%</a:t>
                    </a:r>
                  </a:p>
                </c:rich>
              </c:tx>
              <c:numFmt formatCode="0%" sourceLinked="0"/>
              <c:spPr/>
              <c:showLegendKey val="0"/>
              <c:showVal val="0"/>
              <c:showCatName val="0"/>
              <c:showSerName val="0"/>
              <c:showPercent val="0"/>
              <c:showBubbleSize val="0"/>
              <c:extLst>
                <c:ext xmlns:c15="http://schemas.microsoft.com/office/drawing/2012/chart" uri="{CE6537A1-D6FC-4f65-9D91-7224C49458BB}"/>
              </c:extLst>
            </c:dLbl>
            <c:dLbl>
              <c:idx val="7"/>
              <c:layout>
                <c:manualLayout>
                  <c:x val="8.3728652868060763E-2"/>
                  <c:y val="-0.17849729627170174"/>
                </c:manualLayout>
              </c:layout>
              <c:tx>
                <c:rich>
                  <a:bodyPr/>
                  <a:lstStyle/>
                  <a:p>
                    <a:pPr>
                      <a:defRPr/>
                    </a:pPr>
                    <a:r>
                      <a:rPr lang="en-US"/>
                      <a:t>Other</a:t>
                    </a:r>
                  </a:p>
                  <a:p>
                    <a:pPr>
                      <a:defRPr/>
                    </a:pPr>
                    <a:r>
                      <a:rPr lang="en-US"/>
                      <a:t>income
4%</a:t>
                    </a:r>
                  </a:p>
                </c:rich>
              </c:tx>
              <c:numFmt formatCode="0%" sourceLinked="0"/>
              <c:spPr/>
              <c:showLegendKey val="0"/>
              <c:showVal val="0"/>
              <c:showCatName val="0"/>
              <c:showSerName val="0"/>
              <c:showPercent val="0"/>
              <c:showBubbleSize val="0"/>
              <c:extLst>
                <c:ext xmlns:c15="http://schemas.microsoft.com/office/drawing/2012/chart" uri="{CE6537A1-D6FC-4f65-9D91-7224C49458BB}"/>
              </c:extLst>
            </c:dLbl>
            <c:numFmt formatCode="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'10'!$A$26:$A$33</c:f>
              <c:strCache>
                <c:ptCount val="8"/>
                <c:pt idx="0">
                  <c:v>Rates and charges</c:v>
                </c:pt>
                <c:pt idx="1">
                  <c:v>Statutory fees and fines</c:v>
                </c:pt>
                <c:pt idx="2">
                  <c:v>User fees</c:v>
                </c:pt>
                <c:pt idx="3">
                  <c:v>Contributions - monetary</c:v>
                </c:pt>
                <c:pt idx="4">
                  <c:v>Grants - operating</c:v>
                </c:pt>
                <c:pt idx="5">
                  <c:v>Grants - capital</c:v>
                </c:pt>
                <c:pt idx="6">
                  <c:v>Net gain on disposal of property, infrastructure, plant &amp; equipment</c:v>
                </c:pt>
                <c:pt idx="7">
                  <c:v>Other income</c:v>
                </c:pt>
              </c:strCache>
            </c:strRef>
          </c:cat>
          <c:val>
            <c:numRef>
              <c:f>'10'!$E$26:$E$33</c:f>
              <c:numCache>
                <c:formatCode>#,##0;\(#,##0\)</c:formatCode>
                <c:ptCount val="8"/>
                <c:pt idx="0">
                  <c:v>43457</c:v>
                </c:pt>
                <c:pt idx="1">
                  <c:v>2690</c:v>
                </c:pt>
                <c:pt idx="2">
                  <c:v>7680</c:v>
                </c:pt>
                <c:pt idx="3">
                  <c:v>51</c:v>
                </c:pt>
                <c:pt idx="4">
                  <c:v>13617</c:v>
                </c:pt>
                <c:pt idx="5">
                  <c:v>6277</c:v>
                </c:pt>
                <c:pt idx="6">
                  <c:v>539</c:v>
                </c:pt>
                <c:pt idx="7">
                  <c:v>3263</c:v>
                </c:pt>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alignWithMargins="0"/>
    <c:pageMargins b="1" l="0.75000000000000422" r="0.75000000000000422"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Budgeted expenses 2017/2018</a:t>
            </a:r>
          </a:p>
        </c:rich>
      </c:tx>
      <c:layout>
        <c:manualLayout>
          <c:xMode val="edge"/>
          <c:yMode val="edge"/>
          <c:x val="0.63192982456140534"/>
          <c:y val="0.91814586239783191"/>
        </c:manualLayout>
      </c:layout>
      <c:overlay val="0"/>
    </c:title>
    <c:autoTitleDeleted val="0"/>
    <c:plotArea>
      <c:layout>
        <c:manualLayout>
          <c:layoutTarget val="inner"/>
          <c:xMode val="edge"/>
          <c:yMode val="edge"/>
          <c:x val="0.21053635767734627"/>
          <c:y val="0.18278503648582486"/>
          <c:w val="0.59790409753799567"/>
          <c:h val="0.70138732658417913"/>
        </c:manualLayout>
      </c:layout>
      <c:doughnutChart>
        <c:varyColors val="1"/>
        <c:ser>
          <c:idx val="0"/>
          <c:order val="0"/>
          <c:dLbls>
            <c:dLbl>
              <c:idx val="0"/>
              <c:layout>
                <c:manualLayout>
                  <c:x val="0.14051525703104953"/>
                  <c:y val="-0.10843373493975936"/>
                </c:manualLayout>
              </c:layout>
              <c:spPr/>
              <c:txPr>
                <a:bodyPr/>
                <a:lstStyle/>
                <a:p>
                  <a:pPr>
                    <a:defRPr/>
                  </a:pPr>
                  <a:endParaRPr lang="en-US"/>
                </a:p>
              </c:txPr>
              <c:showLegendKey val="0"/>
              <c:showVal val="0"/>
              <c:showCatName val="1"/>
              <c:showSerName val="0"/>
              <c:showPercent val="1"/>
              <c:showBubbleSize val="0"/>
              <c:extLst>
                <c:ext xmlns:c15="http://schemas.microsoft.com/office/drawing/2012/chart" uri="{CE6537A1-D6FC-4f65-9D91-7224C49458BB}"/>
              </c:extLst>
            </c:dLbl>
            <c:dLbl>
              <c:idx val="1"/>
              <c:layout>
                <c:manualLayout>
                  <c:x val="-0.16861830843725933"/>
                  <c:y val="0.10040160642570282"/>
                </c:manualLayout>
              </c:layout>
              <c:spPr/>
              <c:txPr>
                <a:bodyPr/>
                <a:lstStyle/>
                <a:p>
                  <a:pPr>
                    <a:defRPr/>
                  </a:pPr>
                  <a:endParaRPr lang="en-US"/>
                </a:p>
              </c:txPr>
              <c:showLegendKey val="0"/>
              <c:showVal val="0"/>
              <c:showCatName val="1"/>
              <c:showSerName val="0"/>
              <c:showPercent val="1"/>
              <c:showBubbleSize val="0"/>
              <c:extLst>
                <c:ext xmlns:c15="http://schemas.microsoft.com/office/drawing/2012/chart" uri="{CE6537A1-D6FC-4f65-9D91-7224C49458BB}"/>
              </c:extLst>
            </c:dLbl>
            <c:dLbl>
              <c:idx val="2"/>
              <c:layout>
                <c:manualLayout>
                  <c:x val="-0.1623731859025456"/>
                  <c:y val="1.60642570281125E-2"/>
                </c:manualLayout>
              </c:layout>
              <c:spPr/>
              <c:txPr>
                <a:bodyPr/>
                <a:lstStyle/>
                <a:p>
                  <a:pPr>
                    <a:defRPr/>
                  </a:pPr>
                  <a:endParaRPr lang="en-US"/>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0.15612806336783241"/>
                  <c:y val="-5.6224899598393545E-2"/>
                </c:manualLayout>
              </c:layout>
              <c:spPr/>
              <c:txPr>
                <a:bodyPr/>
                <a:lstStyle/>
                <a:p>
                  <a:pPr>
                    <a:defRPr/>
                  </a:pPr>
                  <a:endParaRPr lang="en-US"/>
                </a:p>
              </c:txPr>
              <c:showLegendKey val="0"/>
              <c:showVal val="0"/>
              <c:showCatName val="1"/>
              <c:showSerName val="0"/>
              <c:showPercent val="1"/>
              <c:showBubbleSize val="0"/>
              <c:extLst>
                <c:ext xmlns:c15="http://schemas.microsoft.com/office/drawing/2012/chart" uri="{CE6537A1-D6FC-4f65-9D91-7224C49458BB}"/>
              </c:extLst>
            </c:dLbl>
            <c:dLbl>
              <c:idx val="4"/>
              <c:layout>
                <c:manualLayout>
                  <c:x val="-0.10928964435748288"/>
                  <c:y val="-0.14457831325301188"/>
                </c:manualLayout>
              </c:layout>
              <c:spPr/>
              <c:txPr>
                <a:bodyPr/>
                <a:lstStyle/>
                <a:p>
                  <a:pPr>
                    <a:defRPr/>
                  </a:pPr>
                  <a:endParaRPr lang="en-US"/>
                </a:p>
              </c:txPr>
              <c:showLegendKey val="0"/>
              <c:showVal val="0"/>
              <c:showCatName val="1"/>
              <c:showSerName val="0"/>
              <c:showPercent val="1"/>
              <c:showBubbleSize val="0"/>
              <c:extLst>
                <c:ext xmlns:c15="http://schemas.microsoft.com/office/drawing/2012/chart" uri="{CE6537A1-D6FC-4f65-9D91-7224C49458BB}"/>
              </c:extLst>
            </c:dLbl>
            <c:dLbl>
              <c:idx val="5"/>
              <c:layout>
                <c:manualLayout>
                  <c:x val="2.1857928871496651E-2"/>
                  <c:y val="-0.1646586345381526"/>
                </c:manualLayout>
              </c:layout>
              <c:spPr/>
              <c:txPr>
                <a:bodyPr/>
                <a:lstStyle/>
                <a:p>
                  <a:pPr>
                    <a:defRPr/>
                  </a:pPr>
                  <a:endParaRPr lang="en-US"/>
                </a:p>
              </c:txPr>
              <c:showLegendKey val="0"/>
              <c:showVal val="0"/>
              <c:showCatName val="1"/>
              <c:showSerName val="0"/>
              <c:showPercent val="1"/>
              <c:showBubbleSize val="0"/>
              <c:extLst>
                <c:ext xmlns:c15="http://schemas.microsoft.com/office/drawing/2012/chart" uri="{CE6537A1-D6FC-4f65-9D91-7224C49458BB}"/>
              </c:extLst>
            </c:dLbl>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'10'!$A$73:$A$78</c:f>
              <c:strCache>
                <c:ptCount val="6"/>
                <c:pt idx="0">
                  <c:v>Employee costs</c:v>
                </c:pt>
                <c:pt idx="1">
                  <c:v>Materials and services</c:v>
                </c:pt>
                <c:pt idx="2">
                  <c:v>Bad and doubtful debts</c:v>
                </c:pt>
                <c:pt idx="3">
                  <c:v>Depreciation and amortisation</c:v>
                </c:pt>
                <c:pt idx="4">
                  <c:v>Borrowing costs</c:v>
                </c:pt>
                <c:pt idx="5">
                  <c:v>Other expenses</c:v>
                </c:pt>
              </c:strCache>
            </c:strRef>
          </c:cat>
          <c:val>
            <c:numRef>
              <c:f>'10'!$E$73:$E$78</c:f>
              <c:numCache>
                <c:formatCode>#,##0;\(#,##0\)</c:formatCode>
                <c:ptCount val="6"/>
                <c:pt idx="0">
                  <c:v>34091</c:v>
                </c:pt>
                <c:pt idx="1">
                  <c:v>22107</c:v>
                </c:pt>
                <c:pt idx="2">
                  <c:v>340</c:v>
                </c:pt>
                <c:pt idx="3">
                  <c:v>14500</c:v>
                </c:pt>
                <c:pt idx="4">
                  <c:v>312</c:v>
                </c:pt>
                <c:pt idx="5">
                  <c:v>5179</c:v>
                </c:pt>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alignWithMargins="0"/>
    <c:pageMargins b="1" l="0.75000000000000444" r="0.75000000000000444"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AU" sz="1000"/>
              <a:t>Budgeted total funding sources 2017/2018</a:t>
            </a:r>
          </a:p>
        </c:rich>
      </c:tx>
      <c:layout>
        <c:manualLayout>
          <c:xMode val="edge"/>
          <c:yMode val="edge"/>
          <c:x val="3.7037037037037056E-2"/>
          <c:y val="3.7681159420289927E-2"/>
        </c:manualLayout>
      </c:layout>
      <c:overlay val="0"/>
    </c:title>
    <c:autoTitleDeleted val="0"/>
    <c:plotArea>
      <c:layout>
        <c:manualLayout>
          <c:layoutTarget val="inner"/>
          <c:xMode val="edge"/>
          <c:yMode val="edge"/>
          <c:x val="0.11046154318429496"/>
          <c:y val="0.21159511582791318"/>
          <c:w val="0.47953307659652822"/>
          <c:h val="0.71304549661883121"/>
        </c:manualLayout>
      </c:layout>
      <c:doughnutChart>
        <c:varyColors val="1"/>
        <c:ser>
          <c:idx val="0"/>
          <c:order val="0"/>
          <c:explosion val="1"/>
          <c:dPt>
            <c:idx val="1"/>
            <c:bubble3D val="0"/>
          </c:dPt>
          <c:dPt>
            <c:idx val="2"/>
            <c:bubble3D val="0"/>
          </c:dPt>
          <c:dPt>
            <c:idx val="3"/>
            <c:bubble3D val="0"/>
          </c:dPt>
          <c:dPt>
            <c:idx val="4"/>
            <c:bubble3D val="0"/>
          </c:dPt>
          <c:dLbls>
            <c:numFmt formatCode="0%" sourceLinked="0"/>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'12'!$I$139:$I$144</c:f>
              <c:strCache>
                <c:ptCount val="6"/>
                <c:pt idx="0">
                  <c:v>Grants</c:v>
                </c:pt>
                <c:pt idx="1">
                  <c:v>Contributions</c:v>
                </c:pt>
                <c:pt idx="2">
                  <c:v>Operations</c:v>
                </c:pt>
                <c:pt idx="3">
                  <c:v>Proceeds on sale of assets</c:v>
                </c:pt>
                <c:pt idx="4">
                  <c:v>Reserve cash and investments</c:v>
                </c:pt>
                <c:pt idx="5">
                  <c:v>Unrestricted cash and investments</c:v>
                </c:pt>
              </c:strCache>
            </c:strRef>
          </c:cat>
          <c:val>
            <c:numRef>
              <c:f>'12'!$J$139:$J$144</c:f>
              <c:numCache>
                <c:formatCode>#,##0</c:formatCode>
                <c:ptCount val="6"/>
                <c:pt idx="0">
                  <c:v>6277</c:v>
                </c:pt>
                <c:pt idx="1">
                  <c:v>0</c:v>
                </c:pt>
                <c:pt idx="2">
                  <c:v>8870</c:v>
                </c:pt>
                <c:pt idx="3">
                  <c:v>1681</c:v>
                </c:pt>
                <c:pt idx="4">
                  <c:v>10348</c:v>
                </c:pt>
                <c:pt idx="5">
                  <c:v>3541</c:v>
                </c:pt>
              </c:numCache>
            </c:numRef>
          </c:val>
        </c:ser>
        <c:dLbls>
          <c:showLegendKey val="0"/>
          <c:showVal val="0"/>
          <c:showCatName val="0"/>
          <c:showSerName val="0"/>
          <c:showPercent val="0"/>
          <c:showBubbleSize val="0"/>
          <c:showLeaderLines val="0"/>
        </c:dLbls>
        <c:firstSliceAng val="0"/>
        <c:holeSize val="50"/>
      </c:doughnutChart>
    </c:plotArea>
    <c:legend>
      <c:legendPos val="r"/>
      <c:overlay val="0"/>
      <c:txPr>
        <a:bodyPr/>
        <a:lstStyle/>
        <a:p>
          <a:pPr>
            <a:defRPr sz="800"/>
          </a:pPr>
          <a:endParaRPr lang="en-US"/>
        </a:p>
      </c:txPr>
    </c:legend>
    <c:plotVisOnly val="1"/>
    <c:dispBlanksAs val="zero"/>
    <c:showDLblsOverMax val="0"/>
  </c:chart>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4" r="0.750000000000004" t="1" header="0.5" footer="0.5"/>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AU" sz="1000"/>
              <a:t>Budgeted capital works 2017/2018</a:t>
            </a:r>
          </a:p>
        </c:rich>
      </c:tx>
      <c:layout>
        <c:manualLayout>
          <c:xMode val="edge"/>
          <c:yMode val="edge"/>
          <c:x val="5.6310619400423138E-2"/>
          <c:y val="2.4154631424840742E-2"/>
        </c:manualLayout>
      </c:layout>
      <c:overlay val="0"/>
    </c:title>
    <c:autoTitleDeleted val="0"/>
    <c:plotArea>
      <c:layout>
        <c:manualLayout>
          <c:layoutTarget val="inner"/>
          <c:xMode val="edge"/>
          <c:yMode val="edge"/>
          <c:x val="9.3203883495145634E-2"/>
          <c:y val="0.13526601955488471"/>
          <c:w val="0.4990291262135923"/>
          <c:h val="0.62077441117153098"/>
        </c:manualLayout>
      </c:layout>
      <c:doughnutChart>
        <c:varyColors val="1"/>
        <c:ser>
          <c:idx val="0"/>
          <c:order val="0"/>
          <c:dPt>
            <c:idx val="1"/>
            <c:bubble3D val="0"/>
          </c:dPt>
          <c:dPt>
            <c:idx val="2"/>
            <c:bubble3D val="0"/>
          </c:dPt>
          <c:dLbls>
            <c:numFmt formatCode="0%" sourceLinked="0"/>
            <c:spPr>
              <a:noFill/>
              <a:ln>
                <a:noFill/>
              </a:ln>
              <a:effectLst/>
            </c:spPr>
            <c:txPr>
              <a:bodyPr/>
              <a:lstStyle/>
              <a:p>
                <a:pPr>
                  <a:defRPr sz="900"/>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'12'!$L$30:$L$32</c:f>
              <c:strCache>
                <c:ptCount val="3"/>
                <c:pt idx="0">
                  <c:v>Property</c:v>
                </c:pt>
                <c:pt idx="1">
                  <c:v>Plant and equipment</c:v>
                </c:pt>
                <c:pt idx="2">
                  <c:v>Infrastructure</c:v>
                </c:pt>
              </c:strCache>
            </c:strRef>
          </c:cat>
          <c:val>
            <c:numRef>
              <c:f>'12'!$M$30:$M$32</c:f>
              <c:numCache>
                <c:formatCode>#,##0</c:formatCode>
                <c:ptCount val="3"/>
                <c:pt idx="0">
                  <c:v>13485</c:v>
                </c:pt>
                <c:pt idx="1">
                  <c:v>5791</c:v>
                </c:pt>
                <c:pt idx="2">
                  <c:v>11441</c:v>
                </c:pt>
              </c:numCache>
            </c:numRef>
          </c:val>
        </c:ser>
        <c:dLbls>
          <c:showLegendKey val="0"/>
          <c:showVal val="0"/>
          <c:showCatName val="0"/>
          <c:showSerName val="0"/>
          <c:showPercent val="0"/>
          <c:showBubbleSize val="0"/>
          <c:showLeaderLines val="0"/>
        </c:dLbls>
        <c:firstSliceAng val="0"/>
        <c:holeSize val="50"/>
      </c:doughnutChart>
    </c:plotArea>
    <c:legend>
      <c:legendPos val="r"/>
      <c:layout>
        <c:manualLayout>
          <c:xMode val="edge"/>
          <c:yMode val="edge"/>
          <c:x val="0.23883495575711283"/>
          <c:y val="0.76328677508276221"/>
          <c:w val="0.25436902665647809"/>
          <c:h val="0.22705364090795177"/>
        </c:manualLayout>
      </c:layout>
      <c:overlay val="0"/>
      <c:txPr>
        <a:bodyPr/>
        <a:lstStyle/>
        <a:p>
          <a:pPr>
            <a:defRPr sz="900"/>
          </a:pPr>
          <a:endParaRPr lang="en-US"/>
        </a:p>
      </c:txPr>
    </c:legend>
    <c:plotVisOnly val="1"/>
    <c:dispBlanksAs val="zero"/>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alignWithMargins="0"/>
    <c:pageMargins b="1" l="0.750000000000004" r="0.750000000000004"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Budgeted capital works 2017/2018</a:t>
            </a:r>
          </a:p>
        </c:rich>
      </c:tx>
      <c:layout>
        <c:manualLayout>
          <c:xMode val="edge"/>
          <c:yMode val="edge"/>
          <c:x val="5.2468782034951748E-2"/>
          <c:y val="2.6733500417710943E-2"/>
        </c:manualLayout>
      </c:layout>
      <c:overlay val="0"/>
    </c:title>
    <c:autoTitleDeleted val="0"/>
    <c:plotArea>
      <c:layout/>
      <c:doughnutChart>
        <c:varyColors val="1"/>
        <c:ser>
          <c:idx val="0"/>
          <c:order val="0"/>
          <c:dLbls>
            <c:spPr>
              <a:noFill/>
              <a:ln>
                <a:noFill/>
              </a:ln>
              <a:effectLst/>
            </c:spPr>
            <c:txPr>
              <a:bodyPr/>
              <a:lstStyle/>
              <a:p>
                <a:pPr>
                  <a:defRPr sz="900"/>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'12'!$A$77:$A$80</c:f>
              <c:strCache>
                <c:ptCount val="4"/>
                <c:pt idx="0">
                  <c:v>New asset expenditure</c:v>
                </c:pt>
                <c:pt idx="1">
                  <c:v>Asset renewal expenditure</c:v>
                </c:pt>
                <c:pt idx="2">
                  <c:v>Asset upgrade expenditure</c:v>
                </c:pt>
                <c:pt idx="3">
                  <c:v>Asset expansion expenditure</c:v>
                </c:pt>
              </c:strCache>
            </c:strRef>
          </c:cat>
          <c:val>
            <c:numRef>
              <c:f>'12'!$D$77:$D$80</c:f>
              <c:numCache>
                <c:formatCode>#,##0;\(#,##0\);\-</c:formatCode>
                <c:ptCount val="4"/>
                <c:pt idx="0">
                  <c:v>17454</c:v>
                </c:pt>
                <c:pt idx="1">
                  <c:v>9176</c:v>
                </c:pt>
                <c:pt idx="2">
                  <c:v>632</c:v>
                </c:pt>
                <c:pt idx="3">
                  <c:v>3455</c:v>
                </c:pt>
              </c:numCache>
            </c:numRef>
          </c:val>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overlay val="0"/>
      <c:txPr>
        <a:bodyPr/>
        <a:lstStyle/>
        <a:p>
          <a:pPr>
            <a:defRPr sz="900"/>
          </a:pPr>
          <a:endParaRPr lang="en-US"/>
        </a:p>
      </c:txPr>
    </c:legend>
    <c:plotVisOnly val="1"/>
    <c:dispBlanksAs val="zero"/>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alignWithMargins="0"/>
    <c:pageMargins b="1" l="0.750000000000004" r="0.750000000000004"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3547387693153"/>
          <c:y val="5.6426418658188884E-2"/>
          <c:w val="0.8791601213264495"/>
          <c:h val="0.74608264670271851"/>
        </c:manualLayout>
      </c:layout>
      <c:lineChart>
        <c:grouping val="standard"/>
        <c:varyColors val="0"/>
        <c:ser>
          <c:idx val="0"/>
          <c:order val="0"/>
          <c:tx>
            <c:strRef>
              <c:f>'14'!$A$30</c:f>
              <c:strCache>
                <c:ptCount val="1"/>
                <c:pt idx="0">
                  <c:v>Surplus/(deficit) for the year</c:v>
                </c:pt>
              </c:strCache>
            </c:strRef>
          </c:tx>
          <c:cat>
            <c:strRef>
              <c:f>'14'!$D$28:$H$28</c:f>
              <c:strCache>
                <c:ptCount val="5"/>
                <c:pt idx="0">
                  <c:v>2016/17</c:v>
                </c:pt>
                <c:pt idx="1">
                  <c:v>2017/18</c:v>
                </c:pt>
                <c:pt idx="2">
                  <c:v>2018/19</c:v>
                </c:pt>
                <c:pt idx="3">
                  <c:v>2019/20</c:v>
                </c:pt>
                <c:pt idx="4">
                  <c:v>2020/21</c:v>
                </c:pt>
              </c:strCache>
            </c:strRef>
          </c:cat>
          <c:val>
            <c:numRef>
              <c:f>'14'!$D$30:$H$30</c:f>
              <c:numCache>
                <c:formatCode>#,##0;\(#,##0\)</c:formatCode>
                <c:ptCount val="5"/>
                <c:pt idx="0">
                  <c:v>-1922</c:v>
                </c:pt>
                <c:pt idx="1">
                  <c:v>1045</c:v>
                </c:pt>
                <c:pt idx="2">
                  <c:v>5398</c:v>
                </c:pt>
                <c:pt idx="3">
                  <c:v>-1754</c:v>
                </c:pt>
                <c:pt idx="4">
                  <c:v>-1570</c:v>
                </c:pt>
              </c:numCache>
            </c:numRef>
          </c:val>
          <c:smooth val="0"/>
        </c:ser>
        <c:ser>
          <c:idx val="1"/>
          <c:order val="1"/>
          <c:tx>
            <c:v>Adjusted underlying result</c:v>
          </c:tx>
          <c:cat>
            <c:strRef>
              <c:f>'14'!$D$28:$H$28</c:f>
              <c:strCache>
                <c:ptCount val="5"/>
                <c:pt idx="0">
                  <c:v>2016/17</c:v>
                </c:pt>
                <c:pt idx="1">
                  <c:v>2017/18</c:v>
                </c:pt>
                <c:pt idx="2">
                  <c:v>2018/19</c:v>
                </c:pt>
                <c:pt idx="3">
                  <c:v>2019/20</c:v>
                </c:pt>
                <c:pt idx="4">
                  <c:v>2020/21</c:v>
                </c:pt>
              </c:strCache>
            </c:strRef>
          </c:cat>
          <c:val>
            <c:numRef>
              <c:f>'14'!$D$31:$H$31</c:f>
              <c:numCache>
                <c:formatCode>#,##0;\(#,##0\)</c:formatCode>
                <c:ptCount val="5"/>
                <c:pt idx="0">
                  <c:v>-4676</c:v>
                </c:pt>
                <c:pt idx="1">
                  <c:v>-4453</c:v>
                </c:pt>
                <c:pt idx="2">
                  <c:v>4927</c:v>
                </c:pt>
                <c:pt idx="3">
                  <c:v>-2124</c:v>
                </c:pt>
                <c:pt idx="4">
                  <c:v>-1920</c:v>
                </c:pt>
              </c:numCache>
            </c:numRef>
          </c:val>
          <c:smooth val="0"/>
        </c:ser>
        <c:ser>
          <c:idx val="4"/>
          <c:order val="2"/>
          <c:tx>
            <c:v>Capital Works Expenditure</c:v>
          </c:tx>
          <c:cat>
            <c:strRef>
              <c:f>'14'!$D$28:$H$28</c:f>
              <c:strCache>
                <c:ptCount val="5"/>
                <c:pt idx="0">
                  <c:v>2016/17</c:v>
                </c:pt>
                <c:pt idx="1">
                  <c:v>2017/18</c:v>
                </c:pt>
                <c:pt idx="2">
                  <c:v>2018/19</c:v>
                </c:pt>
                <c:pt idx="3">
                  <c:v>2019/20</c:v>
                </c:pt>
                <c:pt idx="4">
                  <c:v>2020/21</c:v>
                </c:pt>
              </c:strCache>
            </c:strRef>
          </c:cat>
          <c:val>
            <c:numRef>
              <c:f>'14'!$D$34:$H$34</c:f>
              <c:numCache>
                <c:formatCode>#,##0;\(#,##0\)</c:formatCode>
                <c:ptCount val="5"/>
                <c:pt idx="0">
                  <c:v>22617</c:v>
                </c:pt>
                <c:pt idx="1">
                  <c:v>30717</c:v>
                </c:pt>
                <c:pt idx="2">
                  <c:v>23242</c:v>
                </c:pt>
                <c:pt idx="3">
                  <c:v>18530</c:v>
                </c:pt>
                <c:pt idx="4">
                  <c:v>17349</c:v>
                </c:pt>
              </c:numCache>
            </c:numRef>
          </c:val>
          <c:smooth val="0"/>
        </c:ser>
        <c:ser>
          <c:idx val="2"/>
          <c:order val="3"/>
          <c:tx>
            <c:strRef>
              <c:f>'14'!$A$33</c:f>
              <c:strCache>
                <c:ptCount val="1"/>
                <c:pt idx="0">
                  <c:v>Cash flows from operations</c:v>
                </c:pt>
              </c:strCache>
            </c:strRef>
          </c:tx>
          <c:cat>
            <c:strRef>
              <c:f>'14'!$D$28:$H$28</c:f>
              <c:strCache>
                <c:ptCount val="5"/>
                <c:pt idx="0">
                  <c:v>2016/17</c:v>
                </c:pt>
                <c:pt idx="1">
                  <c:v>2017/18</c:v>
                </c:pt>
                <c:pt idx="2">
                  <c:v>2018/19</c:v>
                </c:pt>
                <c:pt idx="3">
                  <c:v>2019/20</c:v>
                </c:pt>
                <c:pt idx="4">
                  <c:v>2020/21</c:v>
                </c:pt>
              </c:strCache>
            </c:strRef>
          </c:cat>
          <c:val>
            <c:numRef>
              <c:f>'14'!$D$33:$H$33</c:f>
              <c:numCache>
                <c:formatCode>#,##0;\(#,##0\)</c:formatCode>
                <c:ptCount val="5"/>
                <c:pt idx="0">
                  <c:v>11922</c:v>
                </c:pt>
                <c:pt idx="1">
                  <c:v>15459</c:v>
                </c:pt>
                <c:pt idx="2">
                  <c:v>20492</c:v>
                </c:pt>
                <c:pt idx="3">
                  <c:v>14052</c:v>
                </c:pt>
                <c:pt idx="4">
                  <c:v>14687</c:v>
                </c:pt>
              </c:numCache>
            </c:numRef>
          </c:val>
          <c:smooth val="0"/>
        </c:ser>
        <c:ser>
          <c:idx val="3"/>
          <c:order val="4"/>
          <c:tx>
            <c:strRef>
              <c:f>'14'!$A$32</c:f>
              <c:strCache>
                <c:ptCount val="1"/>
                <c:pt idx="0">
                  <c:v>Cash and investments balance</c:v>
                </c:pt>
              </c:strCache>
            </c:strRef>
          </c:tx>
          <c:cat>
            <c:strRef>
              <c:f>'14'!$D$28:$H$28</c:f>
              <c:strCache>
                <c:ptCount val="5"/>
                <c:pt idx="0">
                  <c:v>2016/17</c:v>
                </c:pt>
                <c:pt idx="1">
                  <c:v>2017/18</c:v>
                </c:pt>
                <c:pt idx="2">
                  <c:v>2018/19</c:v>
                </c:pt>
                <c:pt idx="3">
                  <c:v>2019/20</c:v>
                </c:pt>
                <c:pt idx="4">
                  <c:v>2020/21</c:v>
                </c:pt>
              </c:strCache>
            </c:strRef>
          </c:cat>
          <c:val>
            <c:numRef>
              <c:f>'14'!$D$32:$H$32</c:f>
              <c:numCache>
                <c:formatCode>#,##0;\(#,##0\)</c:formatCode>
                <c:ptCount val="5"/>
                <c:pt idx="0">
                  <c:v>23476</c:v>
                </c:pt>
                <c:pt idx="1">
                  <c:v>12207</c:v>
                </c:pt>
                <c:pt idx="2">
                  <c:v>12428</c:v>
                </c:pt>
                <c:pt idx="3">
                  <c:v>12776</c:v>
                </c:pt>
                <c:pt idx="4">
                  <c:v>13028</c:v>
                </c:pt>
              </c:numCache>
            </c:numRef>
          </c:val>
          <c:smooth val="0"/>
        </c:ser>
        <c:dLbls>
          <c:showLegendKey val="0"/>
          <c:showVal val="0"/>
          <c:showCatName val="0"/>
          <c:showSerName val="0"/>
          <c:showPercent val="0"/>
          <c:showBubbleSize val="0"/>
        </c:dLbls>
        <c:marker val="1"/>
        <c:smooth val="0"/>
        <c:axId val="-540243280"/>
        <c:axId val="-540248720"/>
      </c:lineChart>
      <c:catAx>
        <c:axId val="-540243280"/>
        <c:scaling>
          <c:orientation val="minMax"/>
        </c:scaling>
        <c:delete val="0"/>
        <c:axPos val="b"/>
        <c:numFmt formatCode="General" sourceLinked="1"/>
        <c:majorTickMark val="out"/>
        <c:minorTickMark val="none"/>
        <c:tickLblPos val="low"/>
        <c:txPr>
          <a:bodyPr rot="0" vert="horz"/>
          <a:lstStyle/>
          <a:p>
            <a:pPr>
              <a:defRPr/>
            </a:pPr>
            <a:endParaRPr lang="en-US"/>
          </a:p>
        </c:txPr>
        <c:crossAx val="-540248720"/>
        <c:crosses val="autoZero"/>
        <c:auto val="1"/>
        <c:lblAlgn val="ctr"/>
        <c:lblOffset val="100"/>
        <c:tickLblSkip val="1"/>
        <c:tickMarkSkip val="1"/>
        <c:noMultiLvlLbl val="0"/>
      </c:catAx>
      <c:valAx>
        <c:axId val="-540248720"/>
        <c:scaling>
          <c:orientation val="minMax"/>
          <c:max val="40000"/>
          <c:min val="-10000"/>
        </c:scaling>
        <c:delete val="0"/>
        <c:axPos val="l"/>
        <c:majorGridlines/>
        <c:title>
          <c:tx>
            <c:rich>
              <a:bodyPr/>
              <a:lstStyle/>
              <a:p>
                <a:pPr>
                  <a:defRPr/>
                </a:pPr>
                <a:r>
                  <a:rPr lang="en-AU"/>
                  <a:t>$'000 </a:t>
                </a:r>
              </a:p>
            </c:rich>
          </c:tx>
          <c:layout>
            <c:manualLayout>
              <c:xMode val="edge"/>
              <c:yMode val="edge"/>
              <c:x val="8.7565440724203161E-3"/>
              <c:y val="0.40438937295847488"/>
            </c:manualLayout>
          </c:layout>
          <c:overlay val="0"/>
        </c:title>
        <c:numFmt formatCode="#,##0;\(#,##0\)" sourceLinked="1"/>
        <c:majorTickMark val="out"/>
        <c:minorTickMark val="none"/>
        <c:tickLblPos val="low"/>
        <c:txPr>
          <a:bodyPr rot="0" vert="horz"/>
          <a:lstStyle/>
          <a:p>
            <a:pPr>
              <a:defRPr/>
            </a:pPr>
            <a:endParaRPr lang="en-US"/>
          </a:p>
        </c:txPr>
        <c:crossAx val="-540243280"/>
        <c:crosses val="autoZero"/>
        <c:crossBetween val="between"/>
        <c:majorUnit val="10000"/>
        <c:minorUnit val="120"/>
      </c:valAx>
    </c:plotArea>
    <c:legend>
      <c:legendPos val="b"/>
      <c:layout>
        <c:manualLayout>
          <c:xMode val="edge"/>
          <c:yMode val="edge"/>
          <c:x val="0.22066569943515557"/>
          <c:y val="0.86729494236418114"/>
          <c:w val="0.68476403776898265"/>
          <c:h val="0.12852697488049125"/>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alignWithMargins="0"/>
    <c:pageMargins b="1" l="0.750000000000004" r="0.750000000000004"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41221374045801"/>
          <c:y val="5.5194805194805185E-2"/>
          <c:w val="0.84160305343512176"/>
          <c:h val="0.75324675324675361"/>
        </c:manualLayout>
      </c:layout>
      <c:areaChart>
        <c:grouping val="standard"/>
        <c:varyColors val="0"/>
        <c:ser>
          <c:idx val="0"/>
          <c:order val="0"/>
          <c:tx>
            <c:strRef>
              <c:f>'16'!$I$14</c:f>
              <c:strCache>
                <c:ptCount val="1"/>
              </c:strCache>
            </c:strRef>
          </c:tx>
          <c:spPr>
            <a:solidFill>
              <a:srgbClr val="9999FF"/>
            </a:solidFill>
            <a:ln w="25400">
              <a:noFill/>
            </a:ln>
          </c:spPr>
          <c:cat>
            <c:numRef>
              <c:f>'16'!$J$13:$N$13</c:f>
              <c:numCache>
                <c:formatCode>General</c:formatCode>
                <c:ptCount val="5"/>
              </c:numCache>
            </c:numRef>
          </c:cat>
          <c:val>
            <c:numRef>
              <c:f>'16'!$J$14:$N$14</c:f>
              <c:numCache>
                <c:formatCode>General</c:formatCode>
                <c:ptCount val="5"/>
              </c:numCache>
            </c:numRef>
          </c:val>
        </c:ser>
        <c:ser>
          <c:idx val="1"/>
          <c:order val="1"/>
          <c:tx>
            <c:strRef>
              <c:f>'16'!$I$15</c:f>
              <c:strCache>
                <c:ptCount val="1"/>
              </c:strCache>
            </c:strRef>
          </c:tx>
          <c:spPr>
            <a:solidFill>
              <a:srgbClr val="993366"/>
            </a:solidFill>
            <a:ln w="25400">
              <a:noFill/>
            </a:ln>
          </c:spPr>
          <c:cat>
            <c:numRef>
              <c:f>'16'!$J$13:$N$13</c:f>
              <c:numCache>
                <c:formatCode>General</c:formatCode>
                <c:ptCount val="5"/>
              </c:numCache>
            </c:numRef>
          </c:cat>
          <c:val>
            <c:numRef>
              <c:f>'16'!$J$15:$N$15</c:f>
              <c:numCache>
                <c:formatCode>General</c:formatCode>
                <c:ptCount val="5"/>
              </c:numCache>
            </c:numRef>
          </c:val>
        </c:ser>
        <c:ser>
          <c:idx val="2"/>
          <c:order val="2"/>
          <c:tx>
            <c:strRef>
              <c:f>'16'!#REF!</c:f>
              <c:strCache>
                <c:ptCount val="1"/>
                <c:pt idx="0">
                  <c:v>#REF!</c:v>
                </c:pt>
              </c:strCache>
            </c:strRef>
          </c:tx>
          <c:spPr>
            <a:solidFill>
              <a:srgbClr val="FFFFCC"/>
            </a:solidFill>
            <a:ln w="25400">
              <a:noFill/>
            </a:ln>
          </c:spPr>
          <c:cat>
            <c:numRef>
              <c:f>'16'!$J$13:$N$13</c:f>
              <c:numCache>
                <c:formatCode>General</c:formatCode>
                <c:ptCount val="5"/>
              </c:numCache>
            </c:numRef>
          </c:cat>
          <c:val>
            <c:numRef>
              <c:f>'16'!#REF!</c:f>
              <c:numCache>
                <c:formatCode>General</c:formatCode>
                <c:ptCount val="1"/>
                <c:pt idx="0">
                  <c:v>1</c:v>
                </c:pt>
              </c:numCache>
            </c:numRef>
          </c:val>
        </c:ser>
        <c:dLbls>
          <c:showLegendKey val="0"/>
          <c:showVal val="0"/>
          <c:showCatName val="0"/>
          <c:showSerName val="0"/>
          <c:showPercent val="0"/>
          <c:showBubbleSize val="0"/>
        </c:dLbls>
        <c:axId val="-540262320"/>
        <c:axId val="-540256336"/>
      </c:areaChart>
      <c:catAx>
        <c:axId val="-540262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Narrow"/>
                <a:ea typeface="Arial Narrow"/>
                <a:cs typeface="Arial Narrow"/>
              </a:defRPr>
            </a:pPr>
            <a:endParaRPr lang="en-US"/>
          </a:p>
        </c:txPr>
        <c:crossAx val="-540256336"/>
        <c:crosses val="autoZero"/>
        <c:auto val="1"/>
        <c:lblAlgn val="ctr"/>
        <c:lblOffset val="100"/>
        <c:tickLblSkip val="1"/>
        <c:tickMarkSkip val="1"/>
        <c:noMultiLvlLbl val="0"/>
      </c:catAx>
      <c:valAx>
        <c:axId val="-540256336"/>
        <c:scaling>
          <c:orientation val="minMax"/>
          <c:max val="20000"/>
          <c:min val="0"/>
        </c:scaling>
        <c:delete val="0"/>
        <c:axPos val="l"/>
        <c:majorGridlines>
          <c:spPr>
            <a:ln w="3175">
              <a:solidFill>
                <a:srgbClr val="000000"/>
              </a:solidFill>
              <a:prstDash val="solid"/>
            </a:ln>
          </c:spPr>
        </c:majorGridlines>
        <c:title>
          <c:tx>
            <c:rich>
              <a:bodyPr/>
              <a:lstStyle/>
              <a:p>
                <a:pPr>
                  <a:defRPr sz="850" b="0" i="0" u="none" strike="noStrike" baseline="0">
                    <a:solidFill>
                      <a:srgbClr val="000000"/>
                    </a:solidFill>
                    <a:latin typeface="Arial Narrow"/>
                    <a:ea typeface="Arial Narrow"/>
                    <a:cs typeface="Arial Narrow"/>
                  </a:defRPr>
                </a:pPr>
                <a:r>
                  <a:rPr lang="en-AU"/>
                  <a:t>$'000 </a:t>
                </a:r>
              </a:p>
            </c:rich>
          </c:tx>
          <c:layout>
            <c:manualLayout>
              <c:xMode val="edge"/>
              <c:yMode val="edge"/>
              <c:x val="9.5419847328244278E-3"/>
              <c:y val="0.402597389142146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Narrow"/>
                <a:ea typeface="Arial Narrow"/>
                <a:cs typeface="Arial Narrow"/>
              </a:defRPr>
            </a:pPr>
            <a:endParaRPr lang="en-US"/>
          </a:p>
        </c:txPr>
        <c:crossAx val="-540262320"/>
        <c:crosses val="autoZero"/>
        <c:crossBetween val="midCat"/>
        <c:majorUnit val="5000"/>
        <c:minorUnit val="120"/>
      </c:valAx>
      <c:spPr>
        <a:noFill/>
        <a:ln w="25400">
          <a:noFill/>
        </a:ln>
      </c:spPr>
    </c:plotArea>
    <c:legend>
      <c:legendPos val="r"/>
      <c:layout>
        <c:manualLayout>
          <c:xMode val="edge"/>
          <c:yMode val="edge"/>
          <c:x val="0.15458015267175573"/>
          <c:y val="0.90584403923193813"/>
          <c:w val="0.73091603053435161"/>
          <c:h val="7.1428719436386304E-2"/>
        </c:manualLayout>
      </c:layout>
      <c:overlay val="0"/>
      <c:spPr>
        <a:solidFill>
          <a:srgbClr val="FFFFFF"/>
        </a:solidFill>
        <a:ln w="25400">
          <a:noFill/>
        </a:ln>
      </c:spPr>
      <c:txPr>
        <a:bodyPr/>
        <a:lstStyle/>
        <a:p>
          <a:pPr>
            <a:defRPr sz="825" b="0" i="0" u="none" strike="noStrike" baseline="0">
              <a:solidFill>
                <a:srgbClr val="000000"/>
              </a:solidFill>
              <a:latin typeface="Arial Narrow"/>
              <a:ea typeface="Arial Narrow"/>
              <a:cs typeface="Arial Narrow"/>
            </a:defRPr>
          </a:pPr>
          <a:endParaRPr lang="en-US"/>
        </a:p>
      </c:txPr>
    </c:legend>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22" r="0.750000000000004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45748987854248"/>
          <c:y val="8.2568807339450268E-2"/>
          <c:w val="0.8137651821862345"/>
          <c:h val="0.74311926605504663"/>
        </c:manualLayout>
      </c:layout>
      <c:barChart>
        <c:barDir val="col"/>
        <c:grouping val="clustered"/>
        <c:varyColors val="0"/>
        <c:ser>
          <c:idx val="0"/>
          <c:order val="0"/>
          <c:spPr>
            <a:solidFill>
              <a:srgbClr val="9999FF"/>
            </a:solidFill>
            <a:ln w="25400">
              <a:noFill/>
            </a:ln>
          </c:spPr>
          <c:invertIfNegative val="0"/>
          <c:dPt>
            <c:idx val="0"/>
            <c:invertIfNegative val="0"/>
            <c:bubble3D val="0"/>
            <c:spPr>
              <a:solidFill>
                <a:srgbClr val="FF0000"/>
              </a:solidFill>
              <a:ln w="25400">
                <a:noFill/>
              </a:ln>
            </c:spPr>
          </c:dPt>
          <c:dPt>
            <c:idx val="1"/>
            <c:invertIfNegative val="0"/>
            <c:bubble3D val="0"/>
            <c:spPr>
              <a:solidFill>
                <a:srgbClr val="FF0000"/>
              </a:solidFill>
              <a:ln w="25400">
                <a:noFill/>
              </a:ln>
            </c:spPr>
          </c:dPt>
          <c:dPt>
            <c:idx val="2"/>
            <c:invertIfNegative val="0"/>
            <c:bubble3D val="0"/>
            <c:spPr>
              <a:solidFill>
                <a:schemeClr val="bg1">
                  <a:lumMod val="75000"/>
                </a:schemeClr>
              </a:solidFill>
              <a:ln w="25400">
                <a:noFill/>
              </a:ln>
            </c:spPr>
          </c:dPt>
          <c:dPt>
            <c:idx val="3"/>
            <c:invertIfNegative val="0"/>
            <c:bubble3D val="0"/>
            <c:spPr>
              <a:solidFill>
                <a:schemeClr val="accent1">
                  <a:lumMod val="60000"/>
                  <a:lumOff val="40000"/>
                </a:schemeClr>
              </a:solidFill>
              <a:ln w="25400">
                <a:noFill/>
              </a:ln>
            </c:spPr>
          </c:dPt>
          <c:dPt>
            <c:idx val="4"/>
            <c:invertIfNegative val="0"/>
            <c:bubble3D val="0"/>
            <c:spPr>
              <a:solidFill>
                <a:schemeClr val="accent1">
                  <a:lumMod val="60000"/>
                  <a:lumOff val="40000"/>
                </a:schemeClr>
              </a:solidFill>
              <a:ln w="25400">
                <a:noFill/>
              </a:ln>
            </c:spPr>
          </c:dPt>
          <c:dPt>
            <c:idx val="5"/>
            <c:invertIfNegative val="0"/>
            <c:bubble3D val="0"/>
            <c:spPr>
              <a:solidFill>
                <a:schemeClr val="accent1">
                  <a:lumMod val="60000"/>
                  <a:lumOff val="40000"/>
                </a:schemeClr>
              </a:solidFill>
              <a:ln w="25400">
                <a:noFill/>
              </a:ln>
            </c:spPr>
          </c:dPt>
          <c:dLbls>
            <c:numFmt formatCode="0.00" sourceLinked="0"/>
            <c:spPr>
              <a:noFill/>
              <a:ln w="25400">
                <a:noFill/>
              </a:ln>
            </c:spPr>
            <c:txPr>
              <a:bodyPr/>
              <a:lstStyle/>
              <a:p>
                <a:pPr>
                  <a:defRPr sz="900" b="1" i="0" u="none" strike="noStrike" baseline="0">
                    <a:solidFill>
                      <a:srgbClr val="000000"/>
                    </a:solidFill>
                    <a:latin typeface="Arial Narrow"/>
                    <a:ea typeface="Arial Narrow"/>
                    <a:cs typeface="Arial Narrow"/>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'8'!$E$17:$J$17</c:f>
              <c:strCache>
                <c:ptCount val="6"/>
                <c:pt idx="0">
                  <c:v>A2015/16</c:v>
                </c:pt>
                <c:pt idx="1">
                  <c:v>F2016/17</c:v>
                </c:pt>
                <c:pt idx="2">
                  <c:v>B2017/18</c:v>
                </c:pt>
                <c:pt idx="3">
                  <c:v>SRP2018/19</c:v>
                </c:pt>
                <c:pt idx="4">
                  <c:v>SRP2019/20</c:v>
                </c:pt>
                <c:pt idx="5">
                  <c:v>SRP2020/21</c:v>
                </c:pt>
              </c:strCache>
            </c:strRef>
          </c:cat>
          <c:val>
            <c:numRef>
              <c:f>'8'!$E$18:$J$18</c:f>
              <c:numCache>
                <c:formatCode>0.0</c:formatCode>
                <c:ptCount val="6"/>
                <c:pt idx="0">
                  <c:v>38.5</c:v>
                </c:pt>
                <c:pt idx="1">
                  <c:v>39.4</c:v>
                </c:pt>
                <c:pt idx="2">
                  <c:v>42.603999999999999</c:v>
                </c:pt>
                <c:pt idx="3">
                  <c:v>43.2</c:v>
                </c:pt>
                <c:pt idx="4">
                  <c:v>44.5</c:v>
                </c:pt>
                <c:pt idx="5">
                  <c:v>46.2</c:v>
                </c:pt>
              </c:numCache>
            </c:numRef>
          </c:val>
        </c:ser>
        <c:dLbls>
          <c:showLegendKey val="0"/>
          <c:showVal val="0"/>
          <c:showCatName val="0"/>
          <c:showSerName val="0"/>
          <c:showPercent val="0"/>
          <c:showBubbleSize val="0"/>
        </c:dLbls>
        <c:gapWidth val="150"/>
        <c:axId val="-545802864"/>
        <c:axId val="-545814288"/>
      </c:barChart>
      <c:catAx>
        <c:axId val="-545802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545814288"/>
        <c:crosses val="autoZero"/>
        <c:auto val="1"/>
        <c:lblAlgn val="ctr"/>
        <c:lblOffset val="100"/>
        <c:tickLblSkip val="1"/>
        <c:tickMarkSkip val="1"/>
        <c:noMultiLvlLbl val="0"/>
      </c:catAx>
      <c:valAx>
        <c:axId val="-545814288"/>
        <c:scaling>
          <c:orientation val="minMax"/>
          <c:max val="50"/>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Narrow"/>
                    <a:ea typeface="Arial Narrow"/>
                    <a:cs typeface="Arial Narrow"/>
                  </a:defRPr>
                </a:pPr>
                <a:r>
                  <a:rPr lang="en-AU"/>
                  <a:t>net cost $M         </a:t>
                </a:r>
              </a:p>
            </c:rich>
          </c:tx>
          <c:layout>
            <c:manualLayout>
              <c:xMode val="edge"/>
              <c:yMode val="edge"/>
              <c:x val="1.0121457489878556E-2"/>
              <c:y val="0.3256880733944966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545802864"/>
        <c:crosses val="autoZero"/>
        <c:crossBetween val="between"/>
        <c:majorUnit val="10"/>
        <c:minorUnit val="2"/>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41221374045801"/>
          <c:y val="5.5194805194805185E-2"/>
          <c:w val="0.84160305343512176"/>
          <c:h val="0.75324675324675361"/>
        </c:manualLayout>
      </c:layout>
      <c:areaChart>
        <c:grouping val="standard"/>
        <c:varyColors val="0"/>
        <c:ser>
          <c:idx val="0"/>
          <c:order val="0"/>
          <c:tx>
            <c:strRef>
              <c:f>'16'!$I$37</c:f>
              <c:strCache>
                <c:ptCount val="1"/>
                <c:pt idx="0">
                  <c:v>Renewal required</c:v>
                </c:pt>
              </c:strCache>
            </c:strRef>
          </c:tx>
          <c:cat>
            <c:strRef>
              <c:f>'16'!$J$36:$N$36</c:f>
              <c:strCache>
                <c:ptCount val="5"/>
                <c:pt idx="0">
                  <c:v>2016/17</c:v>
                </c:pt>
                <c:pt idx="1">
                  <c:v>2017/18</c:v>
                </c:pt>
                <c:pt idx="2">
                  <c:v>2018/19</c:v>
                </c:pt>
                <c:pt idx="3">
                  <c:v>2019/20</c:v>
                </c:pt>
                <c:pt idx="4">
                  <c:v>2020/21</c:v>
                </c:pt>
              </c:strCache>
            </c:strRef>
          </c:cat>
          <c:val>
            <c:numRef>
              <c:f>'16'!$J$37:$N$37</c:f>
              <c:numCache>
                <c:formatCode>0</c:formatCode>
                <c:ptCount val="5"/>
                <c:pt idx="0">
                  <c:v>14034</c:v>
                </c:pt>
                <c:pt idx="1">
                  <c:v>14500</c:v>
                </c:pt>
                <c:pt idx="2">
                  <c:v>15187</c:v>
                </c:pt>
                <c:pt idx="3">
                  <c:v>15744</c:v>
                </c:pt>
                <c:pt idx="4">
                  <c:v>16274</c:v>
                </c:pt>
              </c:numCache>
            </c:numRef>
          </c:val>
        </c:ser>
        <c:ser>
          <c:idx val="1"/>
          <c:order val="1"/>
          <c:tx>
            <c:strRef>
              <c:f>'16'!$I$38</c:f>
              <c:strCache>
                <c:ptCount val="1"/>
                <c:pt idx="0">
                  <c:v>Renewal program</c:v>
                </c:pt>
              </c:strCache>
            </c:strRef>
          </c:tx>
          <c:cat>
            <c:strRef>
              <c:f>'16'!$J$36:$N$36</c:f>
              <c:strCache>
                <c:ptCount val="5"/>
                <c:pt idx="0">
                  <c:v>2016/17</c:v>
                </c:pt>
                <c:pt idx="1">
                  <c:v>2017/18</c:v>
                </c:pt>
                <c:pt idx="2">
                  <c:v>2018/19</c:v>
                </c:pt>
                <c:pt idx="3">
                  <c:v>2019/20</c:v>
                </c:pt>
                <c:pt idx="4">
                  <c:v>2020/21</c:v>
                </c:pt>
              </c:strCache>
            </c:strRef>
          </c:cat>
          <c:val>
            <c:numRef>
              <c:f>'16'!$J$38:$N$38</c:f>
              <c:numCache>
                <c:formatCode>General</c:formatCode>
                <c:ptCount val="5"/>
                <c:pt idx="0">
                  <c:v>12225</c:v>
                </c:pt>
                <c:pt idx="1">
                  <c:v>17454</c:v>
                </c:pt>
                <c:pt idx="2">
                  <c:v>15928</c:v>
                </c:pt>
                <c:pt idx="3">
                  <c:v>13145</c:v>
                </c:pt>
                <c:pt idx="4">
                  <c:v>13560</c:v>
                </c:pt>
              </c:numCache>
            </c:numRef>
          </c:val>
        </c:ser>
        <c:ser>
          <c:idx val="2"/>
          <c:order val="2"/>
          <c:tx>
            <c:strRef>
              <c:f>'16'!$I$39</c:f>
              <c:strCache>
                <c:ptCount val="1"/>
                <c:pt idx="0">
                  <c:v>Backlog</c:v>
                </c:pt>
              </c:strCache>
            </c:strRef>
          </c:tx>
          <c:cat>
            <c:strRef>
              <c:f>'16'!$J$36:$N$36</c:f>
              <c:strCache>
                <c:ptCount val="5"/>
                <c:pt idx="0">
                  <c:v>2016/17</c:v>
                </c:pt>
                <c:pt idx="1">
                  <c:v>2017/18</c:v>
                </c:pt>
                <c:pt idx="2">
                  <c:v>2018/19</c:v>
                </c:pt>
                <c:pt idx="3">
                  <c:v>2019/20</c:v>
                </c:pt>
                <c:pt idx="4">
                  <c:v>2020/21</c:v>
                </c:pt>
              </c:strCache>
            </c:strRef>
          </c:cat>
          <c:val>
            <c:numRef>
              <c:f>'16'!$J$39:$N$39</c:f>
              <c:numCache>
                <c:formatCode>0</c:formatCode>
                <c:ptCount val="5"/>
                <c:pt idx="0">
                  <c:v>6809</c:v>
                </c:pt>
                <c:pt idx="1">
                  <c:v>3855</c:v>
                </c:pt>
                <c:pt idx="2">
                  <c:v>3114</c:v>
                </c:pt>
                <c:pt idx="3">
                  <c:v>5713</c:v>
                </c:pt>
                <c:pt idx="4">
                  <c:v>8427</c:v>
                </c:pt>
              </c:numCache>
            </c:numRef>
          </c:val>
        </c:ser>
        <c:dLbls>
          <c:showLegendKey val="0"/>
          <c:showVal val="0"/>
          <c:showCatName val="0"/>
          <c:showSerName val="0"/>
          <c:showPercent val="0"/>
          <c:showBubbleSize val="0"/>
        </c:dLbls>
        <c:axId val="-540256880"/>
        <c:axId val="-540247632"/>
      </c:areaChart>
      <c:catAx>
        <c:axId val="-540256880"/>
        <c:scaling>
          <c:orientation val="minMax"/>
        </c:scaling>
        <c:delete val="0"/>
        <c:axPos val="b"/>
        <c:numFmt formatCode="General" sourceLinked="1"/>
        <c:majorTickMark val="out"/>
        <c:minorTickMark val="none"/>
        <c:tickLblPos val="nextTo"/>
        <c:txPr>
          <a:bodyPr rot="0" vert="horz"/>
          <a:lstStyle/>
          <a:p>
            <a:pPr>
              <a:defRPr/>
            </a:pPr>
            <a:endParaRPr lang="en-US"/>
          </a:p>
        </c:txPr>
        <c:crossAx val="-540247632"/>
        <c:crosses val="autoZero"/>
        <c:auto val="1"/>
        <c:lblAlgn val="ctr"/>
        <c:lblOffset val="100"/>
        <c:tickLblSkip val="1"/>
        <c:tickMarkSkip val="1"/>
        <c:noMultiLvlLbl val="0"/>
      </c:catAx>
      <c:valAx>
        <c:axId val="-540247632"/>
        <c:scaling>
          <c:orientation val="minMax"/>
          <c:max val="20000"/>
          <c:min val="0"/>
        </c:scaling>
        <c:delete val="0"/>
        <c:axPos val="l"/>
        <c:majorGridlines/>
        <c:title>
          <c:tx>
            <c:rich>
              <a:bodyPr/>
              <a:lstStyle/>
              <a:p>
                <a:pPr>
                  <a:defRPr/>
                </a:pPr>
                <a:r>
                  <a:rPr lang="en-AU"/>
                  <a:t>$'000 </a:t>
                </a:r>
              </a:p>
            </c:rich>
          </c:tx>
          <c:layout>
            <c:manualLayout>
              <c:xMode val="edge"/>
              <c:yMode val="edge"/>
              <c:x val="9.5419847328244278E-3"/>
              <c:y val="0.40259738914214682"/>
            </c:manualLayout>
          </c:layout>
          <c:overlay val="0"/>
        </c:title>
        <c:numFmt formatCode="#,##0" sourceLinked="0"/>
        <c:majorTickMark val="out"/>
        <c:minorTickMark val="none"/>
        <c:tickLblPos val="nextTo"/>
        <c:txPr>
          <a:bodyPr rot="0" vert="horz"/>
          <a:lstStyle/>
          <a:p>
            <a:pPr>
              <a:defRPr/>
            </a:pPr>
            <a:endParaRPr lang="en-US"/>
          </a:p>
        </c:txPr>
        <c:crossAx val="-540256880"/>
        <c:crosses val="autoZero"/>
        <c:crossBetween val="midCat"/>
        <c:majorUnit val="5000"/>
        <c:minorUnit val="120"/>
      </c:valAx>
    </c:plotArea>
    <c:legend>
      <c:legendPos val="r"/>
      <c:layout>
        <c:manualLayout>
          <c:xMode val="edge"/>
          <c:yMode val="edge"/>
          <c:x val="0.15458015267175573"/>
          <c:y val="0.90584403923193813"/>
          <c:w val="0.73091603053435161"/>
          <c:h val="7.1428719436386304E-2"/>
        </c:manualLayout>
      </c:layout>
      <c:overlay val="0"/>
    </c:legend>
    <c:plotVisOnly val="1"/>
    <c:dispBlanksAs val="zero"/>
    <c:showDLblsOverMax val="0"/>
  </c:chart>
  <c:printSettings>
    <c:headerFooter alignWithMargins="0"/>
    <c:pageMargins b="1" l="0.75000000000000422" r="0.75000000000000422"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23256635212752"/>
          <c:y val="8.2192147332278004E-2"/>
          <c:w val="0.81010260831480563"/>
          <c:h val="0.74429555639785561"/>
        </c:manualLayout>
      </c:layout>
      <c:barChart>
        <c:barDir val="col"/>
        <c:grouping val="clustered"/>
        <c:varyColors val="0"/>
        <c:ser>
          <c:idx val="0"/>
          <c:order val="0"/>
          <c:spPr>
            <a:solidFill>
              <a:srgbClr val="9999FF"/>
            </a:solidFill>
            <a:ln w="25400">
              <a:noFill/>
            </a:ln>
          </c:spPr>
          <c:invertIfNegative val="0"/>
          <c:dPt>
            <c:idx val="0"/>
            <c:invertIfNegative val="0"/>
            <c:bubble3D val="0"/>
            <c:spPr>
              <a:solidFill>
                <a:srgbClr val="FF0000"/>
              </a:solidFill>
              <a:ln w="25400">
                <a:noFill/>
              </a:ln>
            </c:spPr>
          </c:dPt>
          <c:dPt>
            <c:idx val="1"/>
            <c:invertIfNegative val="0"/>
            <c:bubble3D val="0"/>
            <c:spPr>
              <a:solidFill>
                <a:srgbClr val="FF0000"/>
              </a:solidFill>
              <a:ln w="25400">
                <a:noFill/>
              </a:ln>
            </c:spPr>
          </c:dPt>
          <c:dPt>
            <c:idx val="2"/>
            <c:invertIfNegative val="0"/>
            <c:bubble3D val="0"/>
            <c:spPr>
              <a:solidFill>
                <a:schemeClr val="bg1">
                  <a:lumMod val="75000"/>
                </a:schemeClr>
              </a:solidFill>
              <a:ln w="25400">
                <a:noFill/>
              </a:ln>
            </c:spPr>
          </c:dPt>
          <c:dPt>
            <c:idx val="3"/>
            <c:invertIfNegative val="0"/>
            <c:bubble3D val="0"/>
            <c:spPr>
              <a:solidFill>
                <a:schemeClr val="accent1">
                  <a:lumMod val="60000"/>
                  <a:lumOff val="40000"/>
                </a:schemeClr>
              </a:solidFill>
              <a:ln w="25400">
                <a:noFill/>
              </a:ln>
            </c:spPr>
          </c:dPt>
          <c:dPt>
            <c:idx val="4"/>
            <c:invertIfNegative val="0"/>
            <c:bubble3D val="0"/>
            <c:spPr>
              <a:solidFill>
                <a:schemeClr val="accent1">
                  <a:lumMod val="60000"/>
                  <a:lumOff val="40000"/>
                </a:schemeClr>
              </a:solidFill>
              <a:ln w="25400">
                <a:noFill/>
              </a:ln>
            </c:spPr>
          </c:dPt>
          <c:dPt>
            <c:idx val="5"/>
            <c:invertIfNegative val="0"/>
            <c:bubble3D val="0"/>
            <c:spPr>
              <a:solidFill>
                <a:schemeClr val="accent1">
                  <a:lumMod val="60000"/>
                  <a:lumOff val="40000"/>
                </a:schemeClr>
              </a:solidFill>
              <a:ln w="25400">
                <a:noFill/>
              </a:ln>
            </c:spPr>
          </c:dPt>
          <c:dLbls>
            <c:numFmt formatCode="0.00" sourceLinked="0"/>
            <c:spPr>
              <a:noFill/>
              <a:ln w="25400">
                <a:noFill/>
              </a:ln>
            </c:spPr>
            <c:txPr>
              <a:bodyPr/>
              <a:lstStyle/>
              <a:p>
                <a:pPr>
                  <a:defRPr sz="900" b="1" i="0" u="none" strike="noStrike" baseline="0">
                    <a:solidFill>
                      <a:srgbClr val="000000"/>
                    </a:solidFill>
                    <a:latin typeface="Arial Narrow"/>
                    <a:ea typeface="Arial Narrow"/>
                    <a:cs typeface="Arial Narrow"/>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'8'!$E$21:$J$21</c:f>
              <c:strCache>
                <c:ptCount val="6"/>
                <c:pt idx="0">
                  <c:v>A2016</c:v>
                </c:pt>
                <c:pt idx="1">
                  <c:v>F2017</c:v>
                </c:pt>
                <c:pt idx="2">
                  <c:v>B2018</c:v>
                </c:pt>
                <c:pt idx="3">
                  <c:v>SRP2019</c:v>
                </c:pt>
                <c:pt idx="4">
                  <c:v>SRP2020</c:v>
                </c:pt>
                <c:pt idx="5">
                  <c:v>SRP2021</c:v>
                </c:pt>
              </c:strCache>
            </c:strRef>
          </c:cat>
          <c:val>
            <c:numRef>
              <c:f>'8'!$E$22:$J$22</c:f>
              <c:numCache>
                <c:formatCode>0.0</c:formatCode>
                <c:ptCount val="6"/>
                <c:pt idx="0">
                  <c:v>31.6</c:v>
                </c:pt>
                <c:pt idx="1">
                  <c:v>23.475999999999999</c:v>
                </c:pt>
                <c:pt idx="2">
                  <c:v>12.207000000000001</c:v>
                </c:pt>
                <c:pt idx="3">
                  <c:v>12.428000000000001</c:v>
                </c:pt>
                <c:pt idx="4">
                  <c:v>12.776</c:v>
                </c:pt>
                <c:pt idx="5">
                  <c:v>13.028</c:v>
                </c:pt>
              </c:numCache>
            </c:numRef>
          </c:val>
        </c:ser>
        <c:dLbls>
          <c:showLegendKey val="0"/>
          <c:showVal val="0"/>
          <c:showCatName val="0"/>
          <c:showSerName val="0"/>
          <c:showPercent val="0"/>
          <c:showBubbleSize val="0"/>
        </c:dLbls>
        <c:gapWidth val="150"/>
        <c:axId val="-545829520"/>
        <c:axId val="-545817008"/>
      </c:barChart>
      <c:catAx>
        <c:axId val="-545829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545817008"/>
        <c:crosses val="autoZero"/>
        <c:auto val="1"/>
        <c:lblAlgn val="ctr"/>
        <c:lblOffset val="100"/>
        <c:tickLblSkip val="1"/>
        <c:tickMarkSkip val="1"/>
        <c:noMultiLvlLbl val="0"/>
      </c:catAx>
      <c:valAx>
        <c:axId val="-545817008"/>
        <c:scaling>
          <c:orientation val="minMax"/>
          <c:max val="40"/>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Narrow"/>
                    <a:ea typeface="Arial Narrow"/>
                    <a:cs typeface="Arial Narrow"/>
                  </a:defRPr>
                </a:pPr>
                <a:r>
                  <a:rPr lang="en-AU"/>
                  <a:t>cash on hand $M</a:t>
                </a:r>
              </a:p>
            </c:rich>
          </c:tx>
          <c:layout>
            <c:manualLayout>
              <c:xMode val="edge"/>
              <c:yMode val="edge"/>
              <c:x val="1.0101010101010105E-2"/>
              <c:y val="0.2739740409161182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545829520"/>
        <c:crosses val="autoZero"/>
        <c:crossBetween val="between"/>
        <c:majorUnit val="10"/>
        <c:minorUnit val="2"/>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98399203785758"/>
          <c:y val="8.1818363410785272E-2"/>
          <c:w val="0.8104846688396472"/>
          <c:h val="0.7454561999649274"/>
        </c:manualLayout>
      </c:layout>
      <c:barChart>
        <c:barDir val="col"/>
        <c:grouping val="clustered"/>
        <c:varyColors val="0"/>
        <c:ser>
          <c:idx val="0"/>
          <c:order val="0"/>
          <c:spPr>
            <a:solidFill>
              <a:srgbClr val="9999FF"/>
            </a:solidFill>
            <a:ln w="25400">
              <a:noFill/>
            </a:ln>
          </c:spPr>
          <c:invertIfNegative val="0"/>
          <c:dPt>
            <c:idx val="0"/>
            <c:invertIfNegative val="0"/>
            <c:bubble3D val="0"/>
            <c:spPr>
              <a:solidFill>
                <a:srgbClr val="FF0000"/>
              </a:solidFill>
              <a:ln w="25400">
                <a:noFill/>
              </a:ln>
            </c:spPr>
          </c:dPt>
          <c:dPt>
            <c:idx val="1"/>
            <c:invertIfNegative val="0"/>
            <c:bubble3D val="0"/>
            <c:spPr>
              <a:solidFill>
                <a:srgbClr val="FF0000"/>
              </a:solidFill>
              <a:ln w="25400">
                <a:noFill/>
              </a:ln>
            </c:spPr>
          </c:dPt>
          <c:dPt>
            <c:idx val="2"/>
            <c:invertIfNegative val="0"/>
            <c:bubble3D val="0"/>
            <c:spPr>
              <a:solidFill>
                <a:schemeClr val="bg1">
                  <a:lumMod val="75000"/>
                </a:schemeClr>
              </a:solidFill>
              <a:ln w="25400">
                <a:noFill/>
              </a:ln>
            </c:spPr>
          </c:dPt>
          <c:dPt>
            <c:idx val="3"/>
            <c:invertIfNegative val="0"/>
            <c:bubble3D val="0"/>
            <c:spPr>
              <a:solidFill>
                <a:schemeClr val="accent1">
                  <a:lumMod val="60000"/>
                  <a:lumOff val="40000"/>
                </a:schemeClr>
              </a:solidFill>
              <a:ln w="25400">
                <a:noFill/>
              </a:ln>
            </c:spPr>
          </c:dPt>
          <c:dPt>
            <c:idx val="4"/>
            <c:invertIfNegative val="0"/>
            <c:bubble3D val="0"/>
            <c:spPr>
              <a:solidFill>
                <a:schemeClr val="accent1">
                  <a:lumMod val="60000"/>
                  <a:lumOff val="40000"/>
                </a:schemeClr>
              </a:solidFill>
              <a:ln w="25400">
                <a:noFill/>
              </a:ln>
            </c:spPr>
          </c:dPt>
          <c:dPt>
            <c:idx val="5"/>
            <c:invertIfNegative val="0"/>
            <c:bubble3D val="0"/>
            <c:spPr>
              <a:solidFill>
                <a:schemeClr val="accent1">
                  <a:lumMod val="60000"/>
                  <a:lumOff val="40000"/>
                </a:schemeClr>
              </a:solidFill>
              <a:ln w="25400">
                <a:noFill/>
              </a:ln>
            </c:spPr>
          </c:dPt>
          <c:dLbls>
            <c:numFmt formatCode="0.00" sourceLinked="0"/>
            <c:spPr>
              <a:noFill/>
              <a:ln w="25400">
                <a:noFill/>
              </a:ln>
            </c:spPr>
            <c:txPr>
              <a:bodyPr/>
              <a:lstStyle/>
              <a:p>
                <a:pPr>
                  <a:defRPr sz="900" b="1" i="0" u="none" strike="noStrike" baseline="0">
                    <a:solidFill>
                      <a:srgbClr val="000000"/>
                    </a:solidFill>
                    <a:latin typeface="Arial Narrow"/>
                    <a:ea typeface="Arial Narrow"/>
                    <a:cs typeface="Arial Narrow"/>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'8'!$E$26:$J$26</c:f>
              <c:strCache>
                <c:ptCount val="6"/>
                <c:pt idx="0">
                  <c:v>A2015/16</c:v>
                </c:pt>
                <c:pt idx="1">
                  <c:v>F2016/17</c:v>
                </c:pt>
                <c:pt idx="2">
                  <c:v>B2017/18</c:v>
                </c:pt>
                <c:pt idx="3">
                  <c:v>SRP2018/19</c:v>
                </c:pt>
                <c:pt idx="4">
                  <c:v>SRP2019/20</c:v>
                </c:pt>
                <c:pt idx="5">
                  <c:v>SRP2020/21</c:v>
                </c:pt>
              </c:strCache>
            </c:strRef>
          </c:cat>
          <c:val>
            <c:numRef>
              <c:f>'8'!$E$27:$J$27</c:f>
              <c:numCache>
                <c:formatCode>0.0</c:formatCode>
                <c:ptCount val="6"/>
                <c:pt idx="0">
                  <c:v>28.5</c:v>
                </c:pt>
                <c:pt idx="1">
                  <c:v>22.617000000000001</c:v>
                </c:pt>
                <c:pt idx="2">
                  <c:v>30.716999999999999</c:v>
                </c:pt>
                <c:pt idx="3">
                  <c:v>23.242000000000001</c:v>
                </c:pt>
                <c:pt idx="4">
                  <c:v>18.53</c:v>
                </c:pt>
                <c:pt idx="5">
                  <c:v>17.349</c:v>
                </c:pt>
              </c:numCache>
            </c:numRef>
          </c:val>
        </c:ser>
        <c:dLbls>
          <c:showLegendKey val="0"/>
          <c:showVal val="0"/>
          <c:showCatName val="0"/>
          <c:showSerName val="0"/>
          <c:showPercent val="0"/>
          <c:showBubbleSize val="0"/>
        </c:dLbls>
        <c:gapWidth val="150"/>
        <c:axId val="-545830608"/>
        <c:axId val="-545813200"/>
      </c:barChart>
      <c:catAx>
        <c:axId val="-545830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545813200"/>
        <c:crosses val="autoZero"/>
        <c:auto val="1"/>
        <c:lblAlgn val="ctr"/>
        <c:lblOffset val="100"/>
        <c:tickLblSkip val="1"/>
        <c:tickMarkSkip val="1"/>
        <c:noMultiLvlLbl val="0"/>
      </c:catAx>
      <c:valAx>
        <c:axId val="-545813200"/>
        <c:scaling>
          <c:orientation val="minMax"/>
          <c:max val="40"/>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Narrow"/>
                    <a:ea typeface="Arial Narrow"/>
                    <a:cs typeface="Arial Narrow"/>
                  </a:defRPr>
                </a:pPr>
                <a:r>
                  <a:rPr lang="en-AU"/>
                  <a:t>capital works $M</a:t>
                </a:r>
              </a:p>
            </c:rich>
          </c:tx>
          <c:layout>
            <c:manualLayout>
              <c:xMode val="edge"/>
              <c:yMode val="edge"/>
              <c:x val="1.0080645161290319E-2"/>
              <c:y val="0.2772732044858028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545830608"/>
        <c:crosses val="autoZero"/>
        <c:crossBetween val="between"/>
        <c:majorUnit val="10"/>
        <c:minorUnit val="2"/>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71227364185188"/>
          <c:y val="8.1447963800904979E-2"/>
          <c:w val="0.81488933601610158"/>
          <c:h val="0.74660633484162897"/>
        </c:manualLayout>
      </c:layout>
      <c:barChart>
        <c:barDir val="col"/>
        <c:grouping val="clustered"/>
        <c:varyColors val="0"/>
        <c:ser>
          <c:idx val="0"/>
          <c:order val="0"/>
          <c:spPr>
            <a:solidFill>
              <a:srgbClr val="9999FF"/>
            </a:solidFill>
            <a:ln w="25400">
              <a:noFill/>
            </a:ln>
          </c:spPr>
          <c:invertIfNegative val="0"/>
          <c:dPt>
            <c:idx val="0"/>
            <c:invertIfNegative val="0"/>
            <c:bubble3D val="0"/>
            <c:spPr>
              <a:solidFill>
                <a:srgbClr val="FF0000"/>
              </a:solidFill>
              <a:ln w="25400">
                <a:noFill/>
              </a:ln>
            </c:spPr>
          </c:dPt>
          <c:dPt>
            <c:idx val="1"/>
            <c:invertIfNegative val="0"/>
            <c:bubble3D val="0"/>
            <c:spPr>
              <a:solidFill>
                <a:srgbClr val="FF0000"/>
              </a:solidFill>
              <a:ln w="25400">
                <a:noFill/>
              </a:ln>
            </c:spPr>
          </c:dPt>
          <c:dPt>
            <c:idx val="2"/>
            <c:invertIfNegative val="0"/>
            <c:bubble3D val="0"/>
            <c:spPr>
              <a:solidFill>
                <a:schemeClr val="bg1">
                  <a:lumMod val="75000"/>
                </a:schemeClr>
              </a:solidFill>
              <a:ln w="25400">
                <a:noFill/>
              </a:ln>
            </c:spPr>
          </c:dPt>
          <c:dPt>
            <c:idx val="3"/>
            <c:invertIfNegative val="0"/>
            <c:bubble3D val="0"/>
            <c:spPr>
              <a:solidFill>
                <a:schemeClr val="accent1">
                  <a:lumMod val="60000"/>
                  <a:lumOff val="40000"/>
                </a:schemeClr>
              </a:solidFill>
              <a:ln w="25400">
                <a:noFill/>
              </a:ln>
            </c:spPr>
          </c:dPt>
          <c:dPt>
            <c:idx val="4"/>
            <c:invertIfNegative val="0"/>
            <c:bubble3D val="0"/>
            <c:spPr>
              <a:solidFill>
                <a:schemeClr val="accent1">
                  <a:lumMod val="60000"/>
                  <a:lumOff val="40000"/>
                </a:schemeClr>
              </a:solidFill>
              <a:ln w="25400">
                <a:noFill/>
              </a:ln>
            </c:spPr>
          </c:dPt>
          <c:dPt>
            <c:idx val="5"/>
            <c:invertIfNegative val="0"/>
            <c:bubble3D val="0"/>
            <c:spPr>
              <a:solidFill>
                <a:schemeClr val="accent1">
                  <a:lumMod val="60000"/>
                  <a:lumOff val="40000"/>
                </a:schemeClr>
              </a:solidFill>
              <a:ln w="25400">
                <a:noFill/>
              </a:ln>
            </c:spPr>
          </c:dPt>
          <c:dLbls>
            <c:numFmt formatCode="0.00" sourceLinked="0"/>
            <c:spPr>
              <a:noFill/>
              <a:ln w="25400">
                <a:noFill/>
              </a:ln>
            </c:spPr>
            <c:txPr>
              <a:bodyPr/>
              <a:lstStyle/>
              <a:p>
                <a:pPr>
                  <a:defRPr sz="900" b="1" i="0" u="none" strike="noStrike" baseline="0">
                    <a:solidFill>
                      <a:srgbClr val="000000"/>
                    </a:solidFill>
                    <a:latin typeface="Arial Narrow"/>
                    <a:ea typeface="Arial Narrow"/>
                    <a:cs typeface="Arial Narrow"/>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'8'!$E$38:$J$38</c:f>
              <c:strCache>
                <c:ptCount val="6"/>
                <c:pt idx="0">
                  <c:v>A2016</c:v>
                </c:pt>
                <c:pt idx="1">
                  <c:v>F2017</c:v>
                </c:pt>
                <c:pt idx="2">
                  <c:v>B2018</c:v>
                </c:pt>
                <c:pt idx="3">
                  <c:v>SRP2019</c:v>
                </c:pt>
                <c:pt idx="4">
                  <c:v>SRP2020</c:v>
                </c:pt>
                <c:pt idx="5">
                  <c:v>SRP2021</c:v>
                </c:pt>
              </c:strCache>
            </c:strRef>
          </c:cat>
          <c:val>
            <c:numRef>
              <c:f>'8'!$E$39:$J$39</c:f>
              <c:numCache>
                <c:formatCode>0.00</c:formatCode>
                <c:ptCount val="6"/>
                <c:pt idx="0">
                  <c:v>27.7</c:v>
                </c:pt>
                <c:pt idx="1">
                  <c:v>17.643000000000001</c:v>
                </c:pt>
                <c:pt idx="2">
                  <c:v>5.0250000000000004</c:v>
                </c:pt>
                <c:pt idx="3">
                  <c:v>5.1429999999999998</c:v>
                </c:pt>
                <c:pt idx="4">
                  <c:v>5.258</c:v>
                </c:pt>
                <c:pt idx="5">
                  <c:v>5.3730000000000002</c:v>
                </c:pt>
              </c:numCache>
            </c:numRef>
          </c:val>
        </c:ser>
        <c:dLbls>
          <c:showLegendKey val="0"/>
          <c:showVal val="0"/>
          <c:showCatName val="0"/>
          <c:showSerName val="0"/>
          <c:showPercent val="0"/>
          <c:showBubbleSize val="0"/>
        </c:dLbls>
        <c:gapWidth val="150"/>
        <c:axId val="-545801232"/>
        <c:axId val="-545802320"/>
      </c:barChart>
      <c:catAx>
        <c:axId val="-545801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545802320"/>
        <c:crosses val="autoZero"/>
        <c:auto val="1"/>
        <c:lblAlgn val="ctr"/>
        <c:lblOffset val="100"/>
        <c:tickLblSkip val="1"/>
        <c:tickMarkSkip val="1"/>
        <c:noMultiLvlLbl val="0"/>
      </c:catAx>
      <c:valAx>
        <c:axId val="-545802320"/>
        <c:scaling>
          <c:orientation val="minMax"/>
          <c:max val="40"/>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Narrow"/>
                    <a:ea typeface="Arial Narrow"/>
                    <a:cs typeface="Arial Narrow"/>
                  </a:defRPr>
                </a:pPr>
                <a:r>
                  <a:rPr lang="en-AU"/>
                  <a:t>working capital $M</a:t>
                </a:r>
              </a:p>
            </c:rich>
          </c:tx>
          <c:layout>
            <c:manualLayout>
              <c:xMode val="edge"/>
              <c:yMode val="edge"/>
              <c:x val="1.0060362173038228E-2"/>
              <c:y val="0.2760180995475117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545801232"/>
        <c:crosses val="autoZero"/>
        <c:crossBetween val="between"/>
        <c:majorUnit val="10"/>
        <c:minorUnit val="2"/>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231827111984527E-2"/>
          <c:y val="7.5000305177023024E-2"/>
          <c:w val="0.77996070726915956"/>
          <c:h val="0.76666978625401805"/>
        </c:manualLayout>
      </c:layout>
      <c:barChart>
        <c:barDir val="col"/>
        <c:grouping val="clustered"/>
        <c:varyColors val="0"/>
        <c:ser>
          <c:idx val="0"/>
          <c:order val="0"/>
          <c:spPr>
            <a:solidFill>
              <a:srgbClr val="9999FF"/>
            </a:solidFill>
            <a:ln w="25400">
              <a:noFill/>
            </a:ln>
          </c:spPr>
          <c:invertIfNegative val="0"/>
          <c:dPt>
            <c:idx val="0"/>
            <c:invertIfNegative val="0"/>
            <c:bubble3D val="0"/>
            <c:spPr>
              <a:solidFill>
                <a:srgbClr val="FF0000"/>
              </a:solidFill>
              <a:ln w="25400">
                <a:noFill/>
              </a:ln>
            </c:spPr>
          </c:dPt>
          <c:dPt>
            <c:idx val="1"/>
            <c:invertIfNegative val="0"/>
            <c:bubble3D val="0"/>
            <c:spPr>
              <a:solidFill>
                <a:srgbClr val="C0C0C0"/>
              </a:solidFill>
              <a:ln w="25400">
                <a:noFill/>
              </a:ln>
            </c:spPr>
          </c:dPt>
          <c:dPt>
            <c:idx val="2"/>
            <c:invertIfNegative val="0"/>
            <c:bubble3D val="0"/>
            <c:spPr>
              <a:solidFill>
                <a:schemeClr val="accent1">
                  <a:lumMod val="60000"/>
                  <a:lumOff val="40000"/>
                </a:schemeClr>
              </a:solidFill>
              <a:ln w="25400">
                <a:noFill/>
              </a:ln>
            </c:spPr>
          </c:dPt>
          <c:dPt>
            <c:idx val="3"/>
            <c:invertIfNegative val="0"/>
            <c:bubble3D val="0"/>
            <c:spPr>
              <a:solidFill>
                <a:schemeClr val="accent1">
                  <a:lumMod val="60000"/>
                  <a:lumOff val="40000"/>
                </a:schemeClr>
              </a:solidFill>
              <a:ln w="25400">
                <a:noFill/>
              </a:ln>
            </c:spPr>
          </c:dPt>
          <c:dPt>
            <c:idx val="4"/>
            <c:invertIfNegative val="0"/>
            <c:bubble3D val="0"/>
            <c:spPr>
              <a:solidFill>
                <a:schemeClr val="accent1">
                  <a:lumMod val="60000"/>
                  <a:lumOff val="40000"/>
                </a:schemeClr>
              </a:solidFill>
              <a:ln w="25400">
                <a:noFill/>
              </a:ln>
            </c:spPr>
          </c:dPt>
          <c:dLbls>
            <c:numFmt formatCode="0.00" sourceLinked="0"/>
            <c:spPr>
              <a:noFill/>
              <a:ln w="25400">
                <a:noFill/>
              </a:ln>
            </c:spPr>
            <c:txPr>
              <a:bodyPr/>
              <a:lstStyle/>
              <a:p>
                <a:pPr>
                  <a:defRPr sz="900" b="1" i="0" u="none" strike="noStrike" baseline="0">
                    <a:solidFill>
                      <a:srgbClr val="000000"/>
                    </a:solidFill>
                    <a:latin typeface="Arial Narrow"/>
                    <a:ea typeface="Arial Narrow"/>
                    <a:cs typeface="Arial Narrow"/>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'8'!$E$45:$I$45</c:f>
              <c:strCache>
                <c:ptCount val="5"/>
                <c:pt idx="0">
                  <c:v>F2016/17</c:v>
                </c:pt>
                <c:pt idx="1">
                  <c:v>B2017/18</c:v>
                </c:pt>
                <c:pt idx="2">
                  <c:v>SRP2018/19</c:v>
                </c:pt>
                <c:pt idx="3">
                  <c:v>SRP2019/20</c:v>
                </c:pt>
                <c:pt idx="4">
                  <c:v>SRP2020/21</c:v>
                </c:pt>
              </c:strCache>
            </c:strRef>
          </c:cat>
          <c:val>
            <c:numRef>
              <c:f>'8'!$E$48:$I$48</c:f>
              <c:numCache>
                <c:formatCode>0.00</c:formatCode>
                <c:ptCount val="5"/>
                <c:pt idx="0">
                  <c:v>-4.67</c:v>
                </c:pt>
                <c:pt idx="1">
                  <c:v>-4.45</c:v>
                </c:pt>
                <c:pt idx="2">
                  <c:v>-3.63</c:v>
                </c:pt>
                <c:pt idx="3">
                  <c:v>-2.94</c:v>
                </c:pt>
                <c:pt idx="4">
                  <c:v>-2.39</c:v>
                </c:pt>
              </c:numCache>
            </c:numRef>
          </c:val>
        </c:ser>
        <c:dLbls>
          <c:showLegendKey val="0"/>
          <c:showVal val="0"/>
          <c:showCatName val="0"/>
          <c:showSerName val="0"/>
          <c:showPercent val="0"/>
          <c:showBubbleSize val="0"/>
        </c:dLbls>
        <c:gapWidth val="150"/>
        <c:axId val="-545811568"/>
        <c:axId val="-545833328"/>
      </c:barChart>
      <c:catAx>
        <c:axId val="-5458115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545833328"/>
        <c:crosses val="autoZero"/>
        <c:auto val="1"/>
        <c:lblAlgn val="ctr"/>
        <c:lblOffset val="100"/>
        <c:tickLblSkip val="1"/>
        <c:tickMarkSkip val="1"/>
        <c:noMultiLvlLbl val="0"/>
      </c:catAx>
      <c:valAx>
        <c:axId val="-545833328"/>
        <c:scaling>
          <c:orientation val="minMax"/>
          <c:max val="1"/>
          <c:min val="-6"/>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Narrow"/>
                    <a:ea typeface="Arial Narrow"/>
                    <a:cs typeface="Arial Narrow"/>
                  </a:defRPr>
                </a:pPr>
                <a:r>
                  <a:rPr lang="en-AU"/>
                  <a:t>adjusted underlying surplus / -deficit $M
</a:t>
                </a:r>
              </a:p>
            </c:rich>
          </c:tx>
          <c:layout>
            <c:manualLayout>
              <c:xMode val="edge"/>
              <c:yMode val="edge"/>
              <c:x val="9.8231827111984523E-3"/>
              <c:y val="0.1875008748906387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545811568"/>
        <c:crosses val="autoZero"/>
        <c:crossBetween val="between"/>
        <c:majorUnit val="2"/>
        <c:minorUnit val="1"/>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40983937672438"/>
          <c:y val="6.7924653457866829E-2"/>
          <c:w val="0.84136711174210443"/>
          <c:h val="0.66792575900235662"/>
        </c:manualLayout>
      </c:layout>
      <c:barChart>
        <c:barDir val="col"/>
        <c:grouping val="clustered"/>
        <c:varyColors val="0"/>
        <c:ser>
          <c:idx val="1"/>
          <c:order val="0"/>
          <c:tx>
            <c:strRef>
              <c:f>'8'!$D$52</c:f>
              <c:strCache>
                <c:ptCount val="1"/>
                <c:pt idx="0">
                  <c:v>2016/2017</c:v>
                </c:pt>
              </c:strCache>
            </c:strRef>
          </c:tx>
          <c:spPr>
            <a:solidFill>
              <a:srgbClr val="FF0000"/>
            </a:solidFill>
            <a:ln w="25400">
              <a:noFill/>
            </a:ln>
          </c:spPr>
          <c:invertIfNegative val="0"/>
          <c:dLbls>
            <c:dLbl>
              <c:idx val="0"/>
              <c:numFmt formatCode="0.0" sourceLinked="0"/>
              <c:spPr>
                <a:solidFill>
                  <a:srgbClr val="FF0000"/>
                </a:solid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dLblPos val="inEnd"/>
              <c:showLegendKey val="0"/>
              <c:showVal val="1"/>
              <c:showCatName val="0"/>
              <c:showSerName val="0"/>
              <c:showPercent val="0"/>
              <c:showBubbleSize val="0"/>
            </c:dLbl>
            <c:dLbl>
              <c:idx val="5"/>
              <c:numFmt formatCode="0.0" sourceLinked="0"/>
              <c:spPr>
                <a:noFill/>
                <a:ln w="25400">
                  <a:noFill/>
                </a:ln>
              </c:spPr>
              <c:txPr>
                <a:bodyPr/>
                <a:lstStyle/>
                <a:p>
                  <a:pPr>
                    <a:defRPr sz="900" b="1" i="0" u="none" strike="noStrike" baseline="0">
                      <a:solidFill>
                        <a:srgbClr val="000000"/>
                      </a:solidFill>
                      <a:latin typeface="Arial Narrow"/>
                      <a:ea typeface="Arial Narrow"/>
                      <a:cs typeface="Arial Narrow"/>
                    </a:defRPr>
                  </a:pPr>
                  <a:endParaRPr lang="en-US"/>
                </a:p>
              </c:txPr>
              <c:dLblPos val="inEnd"/>
              <c:showLegendKey val="0"/>
              <c:showVal val="1"/>
              <c:showCatName val="0"/>
              <c:showSerName val="0"/>
              <c:showPercent val="0"/>
              <c:showBubbleSize val="0"/>
            </c:dLbl>
            <c:numFmt formatCode="0.0" sourceLinked="0"/>
            <c:spPr>
              <a:no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'8'!$E$51:$J$51</c:f>
              <c:strCache>
                <c:ptCount val="6"/>
                <c:pt idx="0">
                  <c:v>Advocacy &amp; leadership</c:v>
                </c:pt>
                <c:pt idx="1">
                  <c:v>Community &amp;  eco dev</c:v>
                </c:pt>
                <c:pt idx="2">
                  <c:v>Community participation</c:v>
                </c:pt>
                <c:pt idx="3">
                  <c:v>Resource manag</c:v>
                </c:pt>
                <c:pt idx="4">
                  <c:v>Quality service</c:v>
                </c:pt>
                <c:pt idx="5">
                  <c:v>Urban dev &amp; environ</c:v>
                </c:pt>
              </c:strCache>
            </c:strRef>
          </c:cat>
          <c:val>
            <c:numRef>
              <c:f>'8'!$E$52:$J$52</c:f>
              <c:numCache>
                <c:formatCode>General</c:formatCode>
                <c:ptCount val="6"/>
                <c:pt idx="0">
                  <c:v>3.12</c:v>
                </c:pt>
                <c:pt idx="1">
                  <c:v>12.27</c:v>
                </c:pt>
                <c:pt idx="2">
                  <c:v>0.56999999999999995</c:v>
                </c:pt>
                <c:pt idx="3">
                  <c:v>5.56</c:v>
                </c:pt>
                <c:pt idx="4">
                  <c:v>2.4500000000000002</c:v>
                </c:pt>
                <c:pt idx="5">
                  <c:v>15.54</c:v>
                </c:pt>
              </c:numCache>
            </c:numRef>
          </c:val>
        </c:ser>
        <c:ser>
          <c:idx val="0"/>
          <c:order val="1"/>
          <c:tx>
            <c:strRef>
              <c:f>'8'!$D$55</c:f>
              <c:strCache>
                <c:ptCount val="1"/>
                <c:pt idx="0">
                  <c:v>2017/2018</c:v>
                </c:pt>
              </c:strCache>
            </c:strRef>
          </c:tx>
          <c:spPr>
            <a:solidFill>
              <a:srgbClr val="C0C0C0"/>
            </a:solidFill>
            <a:ln w="25400">
              <a:noFill/>
            </a:ln>
          </c:spPr>
          <c:invertIfNegative val="0"/>
          <c:dLbls>
            <c:dLbl>
              <c:idx val="5"/>
              <c:tx>
                <c:rich>
                  <a:bodyPr/>
                  <a:lstStyle/>
                  <a:p>
                    <a:r>
                      <a:rPr lang="en-US" b="1"/>
                      <a:t>17.9</a:t>
                    </a:r>
                    <a:endParaRPr lang="en-US"/>
                  </a:p>
                </c:rich>
              </c:tx>
              <c:dLblPos val="inEnd"/>
              <c:showLegendKey val="0"/>
              <c:showVal val="0"/>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a:lstStyle/>
              <a:p>
                <a:pPr>
                  <a:defRPr sz="900" b="1" i="0" u="none" strike="noStrike" baseline="0">
                    <a:solidFill>
                      <a:srgbClr val="000000"/>
                    </a:solidFill>
                    <a:latin typeface="Arial Narrow"/>
                    <a:ea typeface="Arial Narrow"/>
                    <a:cs typeface="Arial Narrow"/>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'8'!$E$51:$J$51</c:f>
              <c:strCache>
                <c:ptCount val="6"/>
                <c:pt idx="0">
                  <c:v>Advocacy &amp; leadership</c:v>
                </c:pt>
                <c:pt idx="1">
                  <c:v>Community &amp;  eco dev</c:v>
                </c:pt>
                <c:pt idx="2">
                  <c:v>Community participation</c:v>
                </c:pt>
                <c:pt idx="3">
                  <c:v>Resource manag</c:v>
                </c:pt>
                <c:pt idx="4">
                  <c:v>Quality service</c:v>
                </c:pt>
                <c:pt idx="5">
                  <c:v>Urban dev &amp; environ</c:v>
                </c:pt>
              </c:strCache>
            </c:strRef>
          </c:cat>
          <c:val>
            <c:numRef>
              <c:f>'8'!$E$55:$J$55</c:f>
              <c:numCache>
                <c:formatCode>0.0</c:formatCode>
                <c:ptCount val="6"/>
                <c:pt idx="0">
                  <c:v>3.302</c:v>
                </c:pt>
                <c:pt idx="1">
                  <c:v>12.455</c:v>
                </c:pt>
                <c:pt idx="2">
                  <c:v>0.53700000000000003</c:v>
                </c:pt>
                <c:pt idx="3">
                  <c:v>5.6559999999999997</c:v>
                </c:pt>
                <c:pt idx="4" formatCode="General">
                  <c:v>2.72</c:v>
                </c:pt>
                <c:pt idx="5" formatCode="General">
                  <c:v>17.934000000000001</c:v>
                </c:pt>
              </c:numCache>
            </c:numRef>
          </c:val>
        </c:ser>
        <c:dLbls>
          <c:showLegendKey val="0"/>
          <c:showVal val="0"/>
          <c:showCatName val="0"/>
          <c:showSerName val="0"/>
          <c:showPercent val="0"/>
          <c:showBubbleSize val="0"/>
        </c:dLbls>
        <c:gapWidth val="90"/>
        <c:axId val="-545807216"/>
        <c:axId val="-545809392"/>
      </c:barChart>
      <c:catAx>
        <c:axId val="-545807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545809392"/>
        <c:crosses val="autoZero"/>
        <c:auto val="1"/>
        <c:lblAlgn val="ctr"/>
        <c:lblOffset val="100"/>
        <c:tickLblSkip val="1"/>
        <c:tickMarkSkip val="1"/>
        <c:noMultiLvlLbl val="0"/>
      </c:catAx>
      <c:valAx>
        <c:axId val="-545809392"/>
        <c:scaling>
          <c:orientation val="minMax"/>
          <c:max val="20"/>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Narrow"/>
                    <a:ea typeface="Arial Narrow"/>
                    <a:cs typeface="Arial Narrow"/>
                  </a:defRPr>
                </a:pPr>
                <a:r>
                  <a:rPr lang="en-AU"/>
                  <a:t>net cost $M   </a:t>
                </a:r>
              </a:p>
            </c:rich>
          </c:tx>
          <c:layout>
            <c:manualLayout>
              <c:xMode val="edge"/>
              <c:yMode val="edge"/>
              <c:x val="1.00401606425703E-2"/>
              <c:y val="0.3018871391076123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545807216"/>
        <c:crosses val="autoZero"/>
        <c:crossBetween val="between"/>
        <c:majorUnit val="4"/>
        <c:minorUnit val="2"/>
      </c:valAx>
      <c:spPr>
        <a:noFill/>
        <a:ln w="25400">
          <a:noFill/>
        </a:ln>
      </c:spPr>
    </c:plotArea>
    <c:legend>
      <c:legendPos val="r"/>
      <c:layout>
        <c:manualLayout>
          <c:xMode val="edge"/>
          <c:yMode val="edge"/>
          <c:x val="0.31325364449925686"/>
          <c:y val="0.92830358705161775"/>
          <c:w val="0.42369562238455138"/>
          <c:h val="6.0377515310586292E-2"/>
        </c:manualLayout>
      </c:layout>
      <c:overlay val="0"/>
      <c:spPr>
        <a:solidFill>
          <a:srgbClr val="FFFFFF"/>
        </a:solidFill>
        <a:ln w="25400">
          <a:noFill/>
        </a:ln>
      </c:spPr>
      <c:txPr>
        <a:bodyPr/>
        <a:lstStyle/>
        <a:p>
          <a:pPr>
            <a:defRPr sz="825"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76077364427538"/>
          <c:y val="8.2949495404070525E-2"/>
          <c:w val="0.8073030308132515"/>
          <c:h val="0.74193715333640864"/>
        </c:manualLayout>
      </c:layout>
      <c:barChart>
        <c:barDir val="col"/>
        <c:grouping val="clustered"/>
        <c:varyColors val="0"/>
        <c:ser>
          <c:idx val="0"/>
          <c:order val="0"/>
          <c:spPr>
            <a:solidFill>
              <a:srgbClr val="9999FF"/>
            </a:solidFill>
            <a:ln w="25400">
              <a:noFill/>
            </a:ln>
          </c:spPr>
          <c:invertIfNegative val="0"/>
          <c:dPt>
            <c:idx val="0"/>
            <c:invertIfNegative val="0"/>
            <c:bubble3D val="0"/>
            <c:spPr>
              <a:solidFill>
                <a:srgbClr val="FF0000"/>
              </a:solidFill>
              <a:ln w="25400">
                <a:noFill/>
              </a:ln>
            </c:spPr>
          </c:dPt>
          <c:dPt>
            <c:idx val="1"/>
            <c:invertIfNegative val="0"/>
            <c:bubble3D val="0"/>
            <c:spPr>
              <a:solidFill>
                <a:srgbClr val="FF0000"/>
              </a:solidFill>
              <a:ln w="25400">
                <a:noFill/>
              </a:ln>
            </c:spPr>
          </c:dPt>
          <c:dPt>
            <c:idx val="2"/>
            <c:invertIfNegative val="0"/>
            <c:bubble3D val="0"/>
            <c:spPr>
              <a:solidFill>
                <a:schemeClr val="bg1">
                  <a:lumMod val="75000"/>
                </a:schemeClr>
              </a:solidFill>
              <a:ln w="25400">
                <a:noFill/>
              </a:ln>
            </c:spPr>
          </c:dPt>
          <c:dPt>
            <c:idx val="3"/>
            <c:invertIfNegative val="0"/>
            <c:bubble3D val="0"/>
            <c:spPr>
              <a:solidFill>
                <a:schemeClr val="accent1">
                  <a:lumMod val="60000"/>
                  <a:lumOff val="40000"/>
                </a:schemeClr>
              </a:solidFill>
              <a:ln w="25400">
                <a:noFill/>
              </a:ln>
            </c:spPr>
          </c:dPt>
          <c:dPt>
            <c:idx val="4"/>
            <c:invertIfNegative val="0"/>
            <c:bubble3D val="0"/>
            <c:spPr>
              <a:solidFill>
                <a:schemeClr val="accent1">
                  <a:lumMod val="60000"/>
                  <a:lumOff val="40000"/>
                </a:schemeClr>
              </a:solidFill>
              <a:ln w="25400">
                <a:noFill/>
              </a:ln>
            </c:spPr>
          </c:dPt>
          <c:dPt>
            <c:idx val="5"/>
            <c:invertIfNegative val="0"/>
            <c:bubble3D val="0"/>
            <c:spPr>
              <a:solidFill>
                <a:schemeClr val="accent1">
                  <a:lumMod val="60000"/>
                  <a:lumOff val="40000"/>
                </a:schemeClr>
              </a:solidFill>
              <a:ln w="25400">
                <a:noFill/>
              </a:ln>
            </c:spPr>
          </c:dPt>
          <c:dLbls>
            <c:numFmt formatCode="0.0" sourceLinked="0"/>
            <c:spPr>
              <a:noFill/>
              <a:ln w="25400">
                <a:noFill/>
              </a:ln>
            </c:spPr>
            <c:txPr>
              <a:bodyPr/>
              <a:lstStyle/>
              <a:p>
                <a:pPr>
                  <a:defRPr sz="900" b="1" i="0" u="none" strike="noStrike" baseline="0">
                    <a:solidFill>
                      <a:srgbClr val="000000"/>
                    </a:solidFill>
                    <a:latin typeface="Arial Narrow"/>
                    <a:ea typeface="Arial Narrow"/>
                    <a:cs typeface="Arial Narrow"/>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'8'!$E$8:$J$8</c:f>
              <c:strCache>
                <c:ptCount val="6"/>
                <c:pt idx="0">
                  <c:v>A2015/16</c:v>
                </c:pt>
                <c:pt idx="1">
                  <c:v>F2016/17</c:v>
                </c:pt>
                <c:pt idx="2">
                  <c:v>B2017/18</c:v>
                </c:pt>
                <c:pt idx="3">
                  <c:v>SRP2018/19</c:v>
                </c:pt>
                <c:pt idx="4">
                  <c:v>SRP2019/20</c:v>
                </c:pt>
                <c:pt idx="5">
                  <c:v>SRP2020/21</c:v>
                </c:pt>
              </c:strCache>
            </c:strRef>
          </c:cat>
          <c:val>
            <c:numRef>
              <c:f>'8'!$D$9:$I$9</c:f>
              <c:numCache>
                <c:formatCode>0.0</c:formatCode>
                <c:ptCount val="6"/>
                <c:pt idx="0">
                  <c:v>40.299999999999997</c:v>
                </c:pt>
                <c:pt idx="1">
                  <c:v>41.9</c:v>
                </c:pt>
                <c:pt idx="2">
                  <c:v>43.356999999999999</c:v>
                </c:pt>
                <c:pt idx="3">
                  <c:v>46.173000000000002</c:v>
                </c:pt>
                <c:pt idx="4">
                  <c:v>48.625</c:v>
                </c:pt>
                <c:pt idx="5">
                  <c:v>51.162999999999997</c:v>
                </c:pt>
              </c:numCache>
            </c:numRef>
          </c:val>
        </c:ser>
        <c:dLbls>
          <c:showLegendKey val="0"/>
          <c:showVal val="0"/>
          <c:showCatName val="0"/>
          <c:showSerName val="0"/>
          <c:showPercent val="0"/>
          <c:showBubbleSize val="0"/>
        </c:dLbls>
        <c:gapWidth val="150"/>
        <c:axId val="-545828432"/>
        <c:axId val="-545810480"/>
      </c:barChart>
      <c:catAx>
        <c:axId val="-545828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545810480"/>
        <c:crosses val="autoZero"/>
        <c:auto val="1"/>
        <c:lblAlgn val="ctr"/>
        <c:lblOffset val="100"/>
        <c:tickLblSkip val="1"/>
        <c:tickMarkSkip val="1"/>
        <c:noMultiLvlLbl val="0"/>
      </c:catAx>
      <c:valAx>
        <c:axId val="-545810480"/>
        <c:scaling>
          <c:orientation val="minMax"/>
          <c:max val="60"/>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Narrow"/>
                    <a:ea typeface="Arial Narrow"/>
                    <a:cs typeface="Arial Narrow"/>
                  </a:defRPr>
                </a:pPr>
                <a:r>
                  <a:rPr lang="en-US"/>
                  <a:t>$ millions</a:t>
                </a:r>
              </a:p>
            </c:rich>
          </c:tx>
          <c:layout>
            <c:manualLayout>
              <c:xMode val="edge"/>
              <c:yMode val="edge"/>
              <c:x val="1.2170385395537549E-2"/>
              <c:y val="0.29032306445565326"/>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545828432"/>
        <c:crosses val="autoZero"/>
        <c:crossBetween val="between"/>
        <c:majorUnit val="10"/>
        <c:minorUnit val="10"/>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19069231899613"/>
          <c:y val="5.8064607586642523E-2"/>
          <c:w val="0.84190632795075859"/>
          <c:h val="0.74838827556116994"/>
        </c:manualLayout>
      </c:layout>
      <c:areaChart>
        <c:grouping val="standard"/>
        <c:varyColors val="0"/>
        <c:ser>
          <c:idx val="0"/>
          <c:order val="0"/>
          <c:tx>
            <c:strRef>
              <c:f>'8'!$D$34</c:f>
              <c:strCache>
                <c:ptCount val="1"/>
                <c:pt idx="0">
                  <c:v>Renewal required</c:v>
                </c:pt>
              </c:strCache>
            </c:strRef>
          </c:tx>
          <c:spPr>
            <a:ln w="25400">
              <a:noFill/>
            </a:ln>
          </c:spPr>
          <c:cat>
            <c:strRef>
              <c:f>'8'!$E$31:$I$31</c:f>
              <c:strCache>
                <c:ptCount val="5"/>
                <c:pt idx="0">
                  <c:v>2016/17</c:v>
                </c:pt>
                <c:pt idx="1">
                  <c:v>2017/18</c:v>
                </c:pt>
                <c:pt idx="2">
                  <c:v>2018/19</c:v>
                </c:pt>
                <c:pt idx="3">
                  <c:v>2019/20</c:v>
                </c:pt>
                <c:pt idx="4">
                  <c:v>2020/21</c:v>
                </c:pt>
              </c:strCache>
            </c:strRef>
          </c:cat>
          <c:val>
            <c:numRef>
              <c:f>'8'!$E$34:$I$34</c:f>
              <c:numCache>
                <c:formatCode>0</c:formatCode>
                <c:ptCount val="5"/>
                <c:pt idx="0">
                  <c:v>14034</c:v>
                </c:pt>
                <c:pt idx="1">
                  <c:v>14500</c:v>
                </c:pt>
                <c:pt idx="2">
                  <c:v>15187</c:v>
                </c:pt>
                <c:pt idx="3">
                  <c:v>15744</c:v>
                </c:pt>
                <c:pt idx="4" formatCode="General">
                  <c:v>16274</c:v>
                </c:pt>
              </c:numCache>
            </c:numRef>
          </c:val>
        </c:ser>
        <c:ser>
          <c:idx val="1"/>
          <c:order val="1"/>
          <c:tx>
            <c:strRef>
              <c:f>'8'!$D$35</c:f>
              <c:strCache>
                <c:ptCount val="1"/>
                <c:pt idx="0">
                  <c:v>Renewal program</c:v>
                </c:pt>
              </c:strCache>
            </c:strRef>
          </c:tx>
          <c:spPr>
            <a:ln w="25400">
              <a:noFill/>
            </a:ln>
          </c:spPr>
          <c:cat>
            <c:strRef>
              <c:f>'8'!$E$31:$I$31</c:f>
              <c:strCache>
                <c:ptCount val="5"/>
                <c:pt idx="0">
                  <c:v>2016/17</c:v>
                </c:pt>
                <c:pt idx="1">
                  <c:v>2017/18</c:v>
                </c:pt>
                <c:pt idx="2">
                  <c:v>2018/19</c:v>
                </c:pt>
                <c:pt idx="3">
                  <c:v>2019/20</c:v>
                </c:pt>
                <c:pt idx="4">
                  <c:v>2020/21</c:v>
                </c:pt>
              </c:strCache>
            </c:strRef>
          </c:cat>
          <c:val>
            <c:numRef>
              <c:f>'8'!$E$35:$I$35</c:f>
              <c:numCache>
                <c:formatCode>General</c:formatCode>
                <c:ptCount val="5"/>
                <c:pt idx="0">
                  <c:v>12225</c:v>
                </c:pt>
                <c:pt idx="1">
                  <c:v>17460</c:v>
                </c:pt>
                <c:pt idx="2">
                  <c:v>15928</c:v>
                </c:pt>
                <c:pt idx="3">
                  <c:v>13145</c:v>
                </c:pt>
                <c:pt idx="4">
                  <c:v>13560</c:v>
                </c:pt>
              </c:numCache>
            </c:numRef>
          </c:val>
        </c:ser>
        <c:ser>
          <c:idx val="2"/>
          <c:order val="2"/>
          <c:tx>
            <c:strRef>
              <c:f>'8'!$D$36</c:f>
              <c:strCache>
                <c:ptCount val="1"/>
                <c:pt idx="0">
                  <c:v>Backlog</c:v>
                </c:pt>
              </c:strCache>
            </c:strRef>
          </c:tx>
          <c:spPr>
            <a:ln w="25400">
              <a:noFill/>
            </a:ln>
          </c:spPr>
          <c:cat>
            <c:strRef>
              <c:f>'8'!$E$31:$I$31</c:f>
              <c:strCache>
                <c:ptCount val="5"/>
                <c:pt idx="0">
                  <c:v>2016/17</c:v>
                </c:pt>
                <c:pt idx="1">
                  <c:v>2017/18</c:v>
                </c:pt>
                <c:pt idx="2">
                  <c:v>2018/19</c:v>
                </c:pt>
                <c:pt idx="3">
                  <c:v>2019/20</c:v>
                </c:pt>
                <c:pt idx="4">
                  <c:v>2020/21</c:v>
                </c:pt>
              </c:strCache>
            </c:strRef>
          </c:cat>
          <c:val>
            <c:numRef>
              <c:f>'8'!$E$36:$I$36</c:f>
              <c:numCache>
                <c:formatCode>0</c:formatCode>
                <c:ptCount val="5"/>
                <c:pt idx="0" formatCode="General">
                  <c:v>5000</c:v>
                </c:pt>
                <c:pt idx="1">
                  <c:v>2040</c:v>
                </c:pt>
                <c:pt idx="2">
                  <c:v>1299</c:v>
                </c:pt>
                <c:pt idx="3">
                  <c:v>3898</c:v>
                </c:pt>
                <c:pt idx="4">
                  <c:v>6612</c:v>
                </c:pt>
              </c:numCache>
            </c:numRef>
          </c:val>
        </c:ser>
        <c:dLbls>
          <c:showLegendKey val="0"/>
          <c:showVal val="0"/>
          <c:showCatName val="0"/>
          <c:showSerName val="0"/>
          <c:showPercent val="0"/>
          <c:showBubbleSize val="0"/>
        </c:dLbls>
        <c:axId val="-545827344"/>
        <c:axId val="-545819184"/>
      </c:areaChart>
      <c:catAx>
        <c:axId val="-545827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Narrow"/>
                <a:ea typeface="Arial Narrow"/>
                <a:cs typeface="Arial Narrow"/>
              </a:defRPr>
            </a:pPr>
            <a:endParaRPr lang="en-US"/>
          </a:p>
        </c:txPr>
        <c:crossAx val="-545819184"/>
        <c:crosses val="autoZero"/>
        <c:auto val="1"/>
        <c:lblAlgn val="ctr"/>
        <c:lblOffset val="100"/>
        <c:tickLblSkip val="1"/>
        <c:tickMarkSkip val="1"/>
        <c:noMultiLvlLbl val="0"/>
      </c:catAx>
      <c:valAx>
        <c:axId val="-545819184"/>
        <c:scaling>
          <c:orientation val="minMax"/>
          <c:max val="20000"/>
          <c:min val="0"/>
        </c:scaling>
        <c:delete val="0"/>
        <c:axPos val="l"/>
        <c:majorGridlines>
          <c:spPr>
            <a:ln w="3175">
              <a:solidFill>
                <a:srgbClr val="000000"/>
              </a:solidFill>
              <a:prstDash val="solid"/>
            </a:ln>
          </c:spPr>
        </c:majorGridlines>
        <c:title>
          <c:tx>
            <c:rich>
              <a:bodyPr/>
              <a:lstStyle/>
              <a:p>
                <a:pPr>
                  <a:defRPr sz="875" b="0" i="0" u="none" strike="noStrike" baseline="0">
                    <a:solidFill>
                      <a:srgbClr val="000000"/>
                    </a:solidFill>
                    <a:latin typeface="Arial Narrow"/>
                    <a:ea typeface="Arial Narrow"/>
                    <a:cs typeface="Arial Narrow"/>
                  </a:defRPr>
                </a:pPr>
                <a:r>
                  <a:rPr lang="en-AU"/>
                  <a:t>$'000 </a:t>
                </a:r>
              </a:p>
            </c:rich>
          </c:tx>
          <c:layout>
            <c:manualLayout>
              <c:xMode val="edge"/>
              <c:yMode val="edge"/>
              <c:x val="9.5238095238095247E-3"/>
              <c:y val="0.4032265966754158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Narrow"/>
                <a:ea typeface="Arial Narrow"/>
                <a:cs typeface="Arial Narrow"/>
              </a:defRPr>
            </a:pPr>
            <a:endParaRPr lang="en-US"/>
          </a:p>
        </c:txPr>
        <c:crossAx val="-545827344"/>
        <c:crosses val="autoZero"/>
        <c:crossBetween val="midCat"/>
        <c:majorUnit val="5000"/>
        <c:minorUnit val="120"/>
      </c:valAx>
      <c:spPr>
        <a:noFill/>
        <a:ln w="25400">
          <a:noFill/>
        </a:ln>
      </c:spPr>
    </c:plotArea>
    <c:legend>
      <c:legendPos val="b"/>
      <c:overlay val="0"/>
      <c:spPr>
        <a:solidFill>
          <a:srgbClr val="FFFFFF"/>
        </a:solidFill>
        <a:ln w="25400">
          <a:noFill/>
        </a:ln>
      </c:spPr>
      <c:txPr>
        <a:bodyPr/>
        <a:lstStyle/>
        <a:p>
          <a:pPr>
            <a:defRPr sz="825" b="0" i="0" u="none" strike="noStrike" baseline="0">
              <a:solidFill>
                <a:srgbClr val="000000"/>
              </a:solidFill>
              <a:latin typeface="Arial Narrow"/>
              <a:ea typeface="Arial Narrow"/>
              <a:cs typeface="Arial Narrow"/>
            </a:defRPr>
          </a:pPr>
          <a:endParaRPr lang="en-US"/>
        </a:p>
      </c:txPr>
    </c:legend>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4.gif"/></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editAs="oneCell">
    <xdr:from>
      <xdr:col>0</xdr:col>
      <xdr:colOff>121920</xdr:colOff>
      <xdr:row>32</xdr:row>
      <xdr:rowOff>0</xdr:rowOff>
    </xdr:from>
    <xdr:to>
      <xdr:col>0</xdr:col>
      <xdr:colOff>1716016</xdr:colOff>
      <xdr:row>38</xdr:row>
      <xdr:rowOff>74160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 y="7383780"/>
          <a:ext cx="1594096" cy="10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xdr:colOff>
      <xdr:row>24</xdr:row>
      <xdr:rowOff>0</xdr:rowOff>
    </xdr:from>
    <xdr:to>
      <xdr:col>0</xdr:col>
      <xdr:colOff>3163630</xdr:colOff>
      <xdr:row>43</xdr:row>
      <xdr:rowOff>145676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 y="15318441"/>
          <a:ext cx="3163619" cy="3126441"/>
        </a:xfrm>
        <a:prstGeom prst="rect">
          <a:avLst/>
        </a:prstGeom>
      </xdr:spPr>
    </xdr:pic>
    <xdr:clientData/>
  </xdr:twoCellAnchor>
  <xdr:twoCellAnchor editAs="oneCell">
    <xdr:from>
      <xdr:col>0</xdr:col>
      <xdr:colOff>3465980</xdr:colOff>
      <xdr:row>23</xdr:row>
      <xdr:rowOff>31938</xdr:rowOff>
    </xdr:from>
    <xdr:to>
      <xdr:col>1</xdr:col>
      <xdr:colOff>276226</xdr:colOff>
      <xdr:row>45</xdr:row>
      <xdr:rowOff>146033</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65980" y="15376713"/>
          <a:ext cx="2658596" cy="36764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55244</xdr:colOff>
      <xdr:row>6</xdr:row>
      <xdr:rowOff>104775</xdr:rowOff>
    </xdr:from>
    <xdr:to>
      <xdr:col>2</xdr:col>
      <xdr:colOff>4676774</xdr:colOff>
      <xdr:row>7</xdr:row>
      <xdr:rowOff>3143250</xdr:rowOff>
    </xdr:to>
    <xdr:pic>
      <xdr:nvPicPr>
        <xdr:cNvPr id="3" name="Picture 2" descr="C:\Users\bdobson\AppData\Local\Microsoft\Windows\Temporary Internet Files\Content.Outlook\3FFIEU7F\pic14609.g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844" y="2505075"/>
          <a:ext cx="5735955" cy="32004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3</xdr:row>
      <xdr:rowOff>114300</xdr:rowOff>
    </xdr:from>
    <xdr:to>
      <xdr:col>6</xdr:col>
      <xdr:colOff>682993</xdr:colOff>
      <xdr:row>4</xdr:row>
      <xdr:rowOff>2713833</xdr:rowOff>
    </xdr:to>
    <xdr:pic>
      <xdr:nvPicPr>
        <xdr:cNvPr id="2" name="Picture 223"/>
        <xdr:cNvPicPr>
          <a:picLocks noChangeAspect="1" noChangeArrowheads="1"/>
        </xdr:cNvPicPr>
      </xdr:nvPicPr>
      <xdr:blipFill>
        <a:blip xmlns:r="http://schemas.openxmlformats.org/officeDocument/2006/relationships" r:embed="rId1" cstate="print"/>
        <a:srcRect/>
        <a:stretch>
          <a:fillRect/>
        </a:stretch>
      </xdr:blipFill>
      <xdr:spPr bwMode="auto">
        <a:xfrm>
          <a:off x="714375" y="1676400"/>
          <a:ext cx="5693143" cy="276145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5836920</xdr:colOff>
      <xdr:row>11</xdr:row>
      <xdr:rowOff>2133600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15</xdr:row>
      <xdr:rowOff>28575</xdr:rowOff>
    </xdr:from>
    <xdr:to>
      <xdr:col>0</xdr:col>
      <xdr:colOff>5768340</xdr:colOff>
      <xdr:row>15</xdr:row>
      <xdr:rowOff>2057400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19</xdr:row>
      <xdr:rowOff>0</xdr:rowOff>
    </xdr:from>
    <xdr:to>
      <xdr:col>0</xdr:col>
      <xdr:colOff>5844540</xdr:colOff>
      <xdr:row>19</xdr:row>
      <xdr:rowOff>2217420</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24</xdr:row>
      <xdr:rowOff>0</xdr:rowOff>
    </xdr:from>
    <xdr:to>
      <xdr:col>0</xdr:col>
      <xdr:colOff>5882640</xdr:colOff>
      <xdr:row>24</xdr:row>
      <xdr:rowOff>2240280</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36</xdr:row>
      <xdr:rowOff>30480</xdr:rowOff>
    </xdr:from>
    <xdr:to>
      <xdr:col>0</xdr:col>
      <xdr:colOff>5897880</xdr:colOff>
      <xdr:row>36</xdr:row>
      <xdr:rowOff>2278380</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43</xdr:row>
      <xdr:rowOff>0</xdr:rowOff>
    </xdr:from>
    <xdr:to>
      <xdr:col>0</xdr:col>
      <xdr:colOff>5913120</xdr:colOff>
      <xdr:row>44</xdr:row>
      <xdr:rowOff>0</xdr:rowOff>
    </xdr:to>
    <xdr:graphicFrame macro="">
      <xdr:nvGraphicFramePr>
        <xdr:cNvPr id="7"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xdr:colOff>
      <xdr:row>49</xdr:row>
      <xdr:rowOff>38100</xdr:rowOff>
    </xdr:from>
    <xdr:to>
      <xdr:col>0</xdr:col>
      <xdr:colOff>5772151</xdr:colOff>
      <xdr:row>51</xdr:row>
      <xdr:rowOff>1905</xdr:rowOff>
    </xdr:to>
    <xdr:graphicFrame macro="">
      <xdr:nvGraphicFramePr>
        <xdr:cNvPr id="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xdr:row>
      <xdr:rowOff>0</xdr:rowOff>
    </xdr:from>
    <xdr:to>
      <xdr:col>0</xdr:col>
      <xdr:colOff>5875020</xdr:colOff>
      <xdr:row>7</xdr:row>
      <xdr:rowOff>2156460</xdr:rowOff>
    </xdr:to>
    <xdr:graphicFrame macro="">
      <xdr:nvGraphicFramePr>
        <xdr:cNvPr id="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28</xdr:row>
      <xdr:rowOff>85725</xdr:rowOff>
    </xdr:from>
    <xdr:to>
      <xdr:col>1</xdr:col>
      <xdr:colOff>1905</xdr:colOff>
      <xdr:row>29</xdr:row>
      <xdr:rowOff>2282190</xdr:rowOff>
    </xdr:to>
    <xdr:graphicFrame macro="">
      <xdr:nvGraphicFramePr>
        <xdr:cNvPr id="10"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259080</xdr:colOff>
      <xdr:row>56</xdr:row>
      <xdr:rowOff>85725</xdr:rowOff>
    </xdr:from>
    <xdr:to>
      <xdr:col>0</xdr:col>
      <xdr:colOff>5661660</xdr:colOff>
      <xdr:row>57</xdr:row>
      <xdr:rowOff>525780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91440</xdr:colOff>
      <xdr:row>35</xdr:row>
      <xdr:rowOff>15240</xdr:rowOff>
    </xdr:from>
    <xdr:to>
      <xdr:col>6</xdr:col>
      <xdr:colOff>541020</xdr:colOff>
      <xdr:row>35</xdr:row>
      <xdr:rowOff>2739390</xdr:rowOff>
    </xdr:to>
    <xdr:graphicFrame macro="">
      <xdr:nvGraphicFramePr>
        <xdr:cNvPr id="1712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79</xdr:row>
      <xdr:rowOff>142875</xdr:rowOff>
    </xdr:from>
    <xdr:to>
      <xdr:col>6</xdr:col>
      <xdr:colOff>571500</xdr:colOff>
      <xdr:row>80</xdr:row>
      <xdr:rowOff>2752725</xdr:rowOff>
    </xdr:to>
    <xdr:graphicFrame macro="">
      <xdr:nvGraphicFramePr>
        <xdr:cNvPr id="1712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590550</xdr:colOff>
      <xdr:row>36</xdr:row>
      <xdr:rowOff>142875</xdr:rowOff>
    </xdr:from>
    <xdr:to>
      <xdr:col>6</xdr:col>
      <xdr:colOff>22860</xdr:colOff>
      <xdr:row>36</xdr:row>
      <xdr:rowOff>3295650</xdr:rowOff>
    </xdr:to>
    <xdr:graphicFrame macro="">
      <xdr:nvGraphicFramePr>
        <xdr:cNvPr id="1713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571500</xdr:colOff>
      <xdr:row>81</xdr:row>
      <xdr:rowOff>114300</xdr:rowOff>
    </xdr:from>
    <xdr:to>
      <xdr:col>6</xdr:col>
      <xdr:colOff>160020</xdr:colOff>
      <xdr:row>81</xdr:row>
      <xdr:rowOff>3286125</xdr:rowOff>
    </xdr:to>
    <xdr:graphicFrame macro="">
      <xdr:nvGraphicFramePr>
        <xdr:cNvPr id="1713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60960</xdr:colOff>
      <xdr:row>137</xdr:row>
      <xdr:rowOff>57150</xdr:rowOff>
    </xdr:from>
    <xdr:to>
      <xdr:col>5</xdr:col>
      <xdr:colOff>472440</xdr:colOff>
      <xdr:row>138</xdr:row>
      <xdr:rowOff>1762125</xdr:rowOff>
    </xdr:to>
    <xdr:graphicFrame macro="">
      <xdr:nvGraphicFramePr>
        <xdr:cNvPr id="278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51434</xdr:colOff>
      <xdr:row>81</xdr:row>
      <xdr:rowOff>19050</xdr:rowOff>
    </xdr:from>
    <xdr:to>
      <xdr:col>5</xdr:col>
      <xdr:colOff>731519</xdr:colOff>
      <xdr:row>81</xdr:row>
      <xdr:rowOff>3810000</xdr:rowOff>
    </xdr:to>
    <xdr:graphicFrame macro="">
      <xdr:nvGraphicFramePr>
        <xdr:cNvPr id="2787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304799</xdr:colOff>
      <xdr:row>81</xdr:row>
      <xdr:rowOff>3905250</xdr:rowOff>
    </xdr:from>
    <xdr:to>
      <xdr:col>5</xdr:col>
      <xdr:colOff>582705</xdr:colOff>
      <xdr:row>82</xdr:row>
      <xdr:rowOff>3705225</xdr:rowOff>
    </xdr:to>
    <xdr:graphicFrame macro="">
      <xdr:nvGraphicFramePr>
        <xdr:cNvPr id="2787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41</xdr:row>
      <xdr:rowOff>70485</xdr:rowOff>
    </xdr:from>
    <xdr:to>
      <xdr:col>8</xdr:col>
      <xdr:colOff>304800</xdr:colOff>
      <xdr:row>42</xdr:row>
      <xdr:rowOff>2947035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16</xdr:row>
      <xdr:rowOff>0</xdr:rowOff>
    </xdr:from>
    <xdr:to>
      <xdr:col>5</xdr:col>
      <xdr:colOff>800100</xdr:colOff>
      <xdr:row>16</xdr:row>
      <xdr:rowOff>0</xdr:rowOff>
    </xdr:to>
    <xdr:graphicFrame macro="">
      <xdr:nvGraphicFramePr>
        <xdr:cNvPr id="3386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xdr:colOff>
      <xdr:row>37</xdr:row>
      <xdr:rowOff>68580</xdr:rowOff>
    </xdr:from>
    <xdr:to>
      <xdr:col>6</xdr:col>
      <xdr:colOff>701040</xdr:colOff>
      <xdr:row>38</xdr:row>
      <xdr:rowOff>2788920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abSelected="1" topLeftCell="A13" zoomScaleNormal="100" zoomScaleSheetLayoutView="100" workbookViewId="0">
      <selection activeCell="A22" sqref="A22"/>
    </sheetView>
  </sheetViews>
  <sheetFormatPr defaultRowHeight="13.2" x14ac:dyDescent="0.25"/>
  <cols>
    <col min="1" max="1" width="97.44140625" customWidth="1"/>
    <col min="2" max="2" width="1.33203125" customWidth="1"/>
  </cols>
  <sheetData>
    <row r="1" spans="1:11" ht="13.8" x14ac:dyDescent="0.25">
      <c r="A1" s="2"/>
    </row>
    <row r="2" spans="1:11" ht="13.8" x14ac:dyDescent="0.25">
      <c r="A2" s="2"/>
    </row>
    <row r="3" spans="1:11" x14ac:dyDescent="0.25">
      <c r="A3" s="3"/>
      <c r="F3" s="264"/>
      <c r="G3" s="264"/>
      <c r="H3" s="264"/>
      <c r="I3" s="264"/>
      <c r="J3" s="264"/>
      <c r="K3" s="264"/>
    </row>
    <row r="4" spans="1:11" ht="13.8" x14ac:dyDescent="0.25">
      <c r="A4" s="2"/>
      <c r="E4" s="264"/>
      <c r="F4" s="264"/>
      <c r="G4" s="264"/>
      <c r="H4" s="264"/>
      <c r="I4" s="264"/>
      <c r="J4" s="264"/>
      <c r="K4" s="264"/>
    </row>
    <row r="5" spans="1:11" ht="13.8" x14ac:dyDescent="0.25">
      <c r="A5" s="2"/>
      <c r="E5" s="264"/>
      <c r="F5" s="264"/>
      <c r="G5" s="264"/>
      <c r="H5" s="264"/>
      <c r="I5" s="264"/>
      <c r="J5" s="264"/>
      <c r="K5" s="264"/>
    </row>
    <row r="6" spans="1:11" ht="13.8" x14ac:dyDescent="0.25">
      <c r="A6" s="2"/>
      <c r="E6" s="264"/>
      <c r="F6" s="264"/>
      <c r="G6" s="264"/>
      <c r="H6" s="264"/>
      <c r="I6" s="264"/>
      <c r="J6" s="264"/>
      <c r="K6" s="264"/>
    </row>
    <row r="7" spans="1:11" ht="13.8" x14ac:dyDescent="0.25">
      <c r="A7" s="2"/>
      <c r="E7" s="264"/>
      <c r="F7" s="264"/>
      <c r="G7" s="264"/>
      <c r="H7" s="264"/>
      <c r="I7" s="264"/>
      <c r="J7" s="264"/>
      <c r="K7" s="264"/>
    </row>
    <row r="8" spans="1:11" ht="13.8" x14ac:dyDescent="0.25">
      <c r="A8" s="2"/>
      <c r="E8" s="264"/>
      <c r="F8" s="264"/>
      <c r="G8" s="264"/>
      <c r="H8" s="264"/>
      <c r="I8" s="264"/>
      <c r="J8" s="264"/>
      <c r="K8" s="264"/>
    </row>
    <row r="9" spans="1:11" ht="13.8" x14ac:dyDescent="0.25">
      <c r="A9" s="2"/>
      <c r="E9" s="264"/>
      <c r="F9" s="264"/>
      <c r="G9" s="264"/>
      <c r="H9" s="264"/>
      <c r="I9" s="264"/>
      <c r="J9" s="264"/>
      <c r="K9" s="264"/>
    </row>
    <row r="10" spans="1:11" ht="13.8" x14ac:dyDescent="0.25">
      <c r="A10" s="2"/>
      <c r="E10" s="264"/>
      <c r="F10" s="264"/>
      <c r="G10" s="264"/>
      <c r="H10" s="264"/>
      <c r="I10" s="264"/>
      <c r="J10" s="264"/>
      <c r="K10" s="264"/>
    </row>
    <row r="11" spans="1:11" x14ac:dyDescent="0.25">
      <c r="A11" s="9"/>
      <c r="E11" s="264"/>
      <c r="F11" s="264"/>
      <c r="G11" s="264"/>
      <c r="H11" s="264"/>
      <c r="I11" s="264"/>
      <c r="J11" s="264"/>
      <c r="K11" s="264"/>
    </row>
    <row r="12" spans="1:11" ht="13.8" x14ac:dyDescent="0.25">
      <c r="A12" s="2"/>
      <c r="E12" s="264"/>
      <c r="F12" s="264"/>
      <c r="G12" s="264"/>
      <c r="H12" s="264"/>
      <c r="I12" s="264"/>
      <c r="J12" s="264"/>
      <c r="K12" s="264"/>
    </row>
    <row r="13" spans="1:11" ht="22.8" x14ac:dyDescent="0.4">
      <c r="A13" s="29"/>
      <c r="E13" s="264"/>
      <c r="F13" s="264"/>
      <c r="G13" s="264"/>
      <c r="H13" s="264"/>
      <c r="I13" s="264"/>
      <c r="J13" s="264"/>
      <c r="K13" s="264"/>
    </row>
    <row r="14" spans="1:11" ht="22.8" x14ac:dyDescent="0.4">
      <c r="A14" s="30"/>
      <c r="E14" s="264"/>
      <c r="F14" s="264"/>
      <c r="G14" s="264"/>
      <c r="H14" s="264"/>
      <c r="I14" s="264"/>
      <c r="J14" s="264"/>
      <c r="K14" s="264"/>
    </row>
    <row r="15" spans="1:11" ht="17.399999999999999" x14ac:dyDescent="0.3">
      <c r="A15" s="31"/>
      <c r="E15" s="264"/>
      <c r="F15" s="264"/>
      <c r="G15" s="264"/>
      <c r="H15" s="264"/>
      <c r="I15" s="264"/>
      <c r="J15" s="264"/>
      <c r="K15" s="264"/>
    </row>
    <row r="16" spans="1:11" ht="28.5" customHeight="1" x14ac:dyDescent="0.4">
      <c r="A16" s="29"/>
    </row>
    <row r="17" spans="1:1" ht="22.8" x14ac:dyDescent="0.25">
      <c r="A17" s="880" t="s">
        <v>1326</v>
      </c>
    </row>
    <row r="18" spans="1:1" ht="17.399999999999999" x14ac:dyDescent="0.3">
      <c r="A18" s="265"/>
    </row>
    <row r="19" spans="1:1" ht="14.4" x14ac:dyDescent="0.3">
      <c r="A19" s="48"/>
    </row>
    <row r="20" spans="1:1" ht="15.6" x14ac:dyDescent="0.25">
      <c r="A20" s="109"/>
    </row>
    <row r="21" spans="1:1" x14ac:dyDescent="0.25">
      <c r="A21" s="778"/>
    </row>
    <row r="22" spans="1:1" ht="13.8" x14ac:dyDescent="0.25">
      <c r="A22" s="169"/>
    </row>
    <row r="23" spans="1:1" ht="13.8" x14ac:dyDescent="0.25">
      <c r="A23" s="110"/>
    </row>
    <row r="24" spans="1:1" ht="13.8" x14ac:dyDescent="0.25">
      <c r="A24" s="170"/>
    </row>
    <row r="25" spans="1:1" ht="13.8" x14ac:dyDescent="0.25">
      <c r="A25" s="110"/>
    </row>
    <row r="26" spans="1:1" ht="13.8" x14ac:dyDescent="0.25">
      <c r="A26" s="170"/>
    </row>
    <row r="27" spans="1:1" ht="13.8" x14ac:dyDescent="0.25">
      <c r="A27" s="110"/>
    </row>
    <row r="28" spans="1:1" ht="13.8" x14ac:dyDescent="0.25">
      <c r="A28" s="110"/>
    </row>
    <row r="29" spans="1:1" ht="13.8" x14ac:dyDescent="0.25">
      <c r="A29" s="110"/>
    </row>
    <row r="30" spans="1:1" ht="13.8" x14ac:dyDescent="0.25">
      <c r="A30" s="2"/>
    </row>
    <row r="31" spans="1:1" ht="26.4" x14ac:dyDescent="0.25">
      <c r="A31" s="762" t="s">
        <v>1234</v>
      </c>
    </row>
    <row r="32" spans="1:1" x14ac:dyDescent="0.25">
      <c r="A32" s="39"/>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row r="40" spans="1:1" x14ac:dyDescent="0.25">
      <c r="A40" s="3"/>
    </row>
    <row r="49" ht="382.5" customHeight="1" x14ac:dyDescent="0.25"/>
  </sheetData>
  <phoneticPr fontId="11" type="noConversion"/>
  <pageMargins left="0.74803149606299213" right="0.74803149606299213" top="0.98425196850393704" bottom="0.98425196850393704" header="0.51181102362204722" footer="0.51181102362204722"/>
  <pageSetup paperSize="9" scale="89" firstPageNumber="2"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1"/>
  <sheetViews>
    <sheetView view="pageBreakPreview" topLeftCell="A51" zoomScaleNormal="100" zoomScaleSheetLayoutView="100" workbookViewId="0">
      <selection activeCell="A40" sqref="A40"/>
    </sheetView>
  </sheetViews>
  <sheetFormatPr defaultColWidth="9.109375" defaultRowHeight="13.2" x14ac:dyDescent="0.25"/>
  <cols>
    <col min="1" max="1" width="9.88671875" style="206" customWidth="1"/>
    <col min="2" max="2" width="9.109375" style="68" customWidth="1"/>
    <col min="3" max="3" width="10" style="56" customWidth="1"/>
    <col min="4" max="4" width="35.5546875" style="56" customWidth="1"/>
    <col min="5" max="7" width="11.109375" style="56" customWidth="1"/>
    <col min="8" max="8" width="10.5546875" style="206" customWidth="1"/>
    <col min="9" max="9" width="10" style="206" customWidth="1"/>
    <col min="10" max="16384" width="9.109375" style="206"/>
  </cols>
  <sheetData>
    <row r="1" spans="1:7" s="215" customFormat="1" ht="16.8" x14ac:dyDescent="0.25">
      <c r="A1" s="895"/>
      <c r="B1" s="331" t="s">
        <v>857</v>
      </c>
      <c r="C1" s="54"/>
      <c r="D1" s="54"/>
      <c r="E1" s="54"/>
      <c r="F1" s="54"/>
      <c r="G1" s="54"/>
    </row>
    <row r="2" spans="1:7" s="287" customFormat="1" ht="16.8" x14ac:dyDescent="0.25">
      <c r="A2" s="895"/>
      <c r="B2" s="331"/>
      <c r="C2" s="54"/>
      <c r="D2" s="54"/>
      <c r="E2" s="54"/>
      <c r="F2" s="54"/>
      <c r="G2" s="54"/>
    </row>
    <row r="3" spans="1:7" s="63" customFormat="1" x14ac:dyDescent="0.25">
      <c r="A3" s="895"/>
      <c r="B3" s="944" t="s">
        <v>858</v>
      </c>
      <c r="C3" s="944"/>
      <c r="D3" s="944"/>
      <c r="E3" s="944"/>
      <c r="F3" s="944"/>
      <c r="G3" s="944"/>
    </row>
    <row r="4" spans="1:7" s="63" customFormat="1" x14ac:dyDescent="0.25">
      <c r="A4" s="895"/>
      <c r="B4" s="272"/>
      <c r="C4" s="272"/>
      <c r="D4" s="272"/>
      <c r="E4" s="272"/>
      <c r="F4" s="272"/>
      <c r="G4" s="272"/>
    </row>
    <row r="5" spans="1:7" s="63" customFormat="1" x14ac:dyDescent="0.25">
      <c r="A5" s="895"/>
      <c r="B5" s="944" t="s">
        <v>859</v>
      </c>
      <c r="C5" s="942"/>
      <c r="D5" s="942"/>
      <c r="E5" s="942"/>
      <c r="F5" s="942"/>
      <c r="G5" s="942"/>
    </row>
    <row r="6" spans="1:7" s="63" customFormat="1" x14ac:dyDescent="0.25">
      <c r="A6" s="895"/>
      <c r="B6" s="942" t="s">
        <v>1019</v>
      </c>
      <c r="C6" s="942"/>
      <c r="D6" s="942"/>
      <c r="E6" s="942"/>
      <c r="F6" s="942"/>
      <c r="G6" s="942"/>
    </row>
    <row r="7" spans="1:7" s="63" customFormat="1" x14ac:dyDescent="0.25">
      <c r="A7" s="895"/>
      <c r="B7" s="942" t="s">
        <v>1021</v>
      </c>
      <c r="C7" s="942"/>
      <c r="D7" s="942"/>
      <c r="E7" s="942"/>
      <c r="F7" s="942"/>
      <c r="G7" s="942"/>
    </row>
    <row r="8" spans="1:7" s="63" customFormat="1" x14ac:dyDescent="0.25">
      <c r="A8" s="895"/>
      <c r="B8" s="942" t="s">
        <v>1020</v>
      </c>
      <c r="C8" s="942"/>
      <c r="D8" s="942"/>
      <c r="E8" s="942"/>
      <c r="F8" s="942"/>
      <c r="G8" s="942"/>
    </row>
    <row r="9" spans="1:7" s="63" customFormat="1" x14ac:dyDescent="0.25">
      <c r="A9" s="895"/>
      <c r="B9" s="136"/>
      <c r="C9" s="83"/>
      <c r="D9" s="83"/>
      <c r="E9" s="83"/>
      <c r="F9" s="83"/>
      <c r="G9" s="83"/>
    </row>
    <row r="10" spans="1:7" s="63" customFormat="1" x14ac:dyDescent="0.25">
      <c r="A10" s="895"/>
      <c r="B10" s="293" t="s">
        <v>1350</v>
      </c>
      <c r="C10" s="467"/>
      <c r="D10" s="217"/>
      <c r="E10" s="467"/>
      <c r="F10" s="467"/>
      <c r="G10" s="467"/>
    </row>
    <row r="11" spans="1:7" s="63" customFormat="1" ht="52.95" customHeight="1" x14ac:dyDescent="0.25">
      <c r="A11" s="895"/>
      <c r="B11" s="1060" t="s">
        <v>1106</v>
      </c>
      <c r="C11" s="1060"/>
      <c r="D11" s="1060"/>
      <c r="E11" s="1060"/>
      <c r="F11" s="1060"/>
      <c r="G11" s="1060"/>
    </row>
    <row r="12" spans="1:7" s="63" customFormat="1" x14ac:dyDescent="0.25">
      <c r="A12" s="466"/>
      <c r="B12" s="289"/>
      <c r="C12" s="289"/>
      <c r="D12" s="289"/>
      <c r="E12" s="289"/>
      <c r="F12" s="289"/>
      <c r="G12" s="289"/>
    </row>
    <row r="13" spans="1:7" s="63" customFormat="1" x14ac:dyDescent="0.25">
      <c r="A13" s="1005" t="s">
        <v>824</v>
      </c>
      <c r="B13" s="471"/>
      <c r="C13" s="471"/>
      <c r="D13" s="380"/>
      <c r="E13" s="380" t="s">
        <v>331</v>
      </c>
      <c r="F13" s="380"/>
      <c r="G13" s="380"/>
    </row>
    <row r="14" spans="1:7" s="63" customFormat="1" x14ac:dyDescent="0.25">
      <c r="A14" s="1005"/>
      <c r="B14" s="471"/>
      <c r="C14" s="471"/>
      <c r="D14" s="380"/>
      <c r="E14" s="380" t="s">
        <v>332</v>
      </c>
      <c r="F14" s="380" t="s">
        <v>313</v>
      </c>
      <c r="G14" s="380" t="s">
        <v>314</v>
      </c>
    </row>
    <row r="15" spans="1:7" s="63" customFormat="1" x14ac:dyDescent="0.25">
      <c r="A15" s="1005"/>
      <c r="B15" s="1053" t="s">
        <v>387</v>
      </c>
      <c r="C15" s="1054"/>
      <c r="D15" s="1054"/>
      <c r="E15" s="380" t="s">
        <v>408</v>
      </c>
      <c r="F15" s="380" t="s">
        <v>409</v>
      </c>
      <c r="G15" s="380"/>
    </row>
    <row r="16" spans="1:7" s="63" customFormat="1" x14ac:dyDescent="0.25">
      <c r="A16" s="1005"/>
      <c r="B16" s="473"/>
      <c r="C16" s="473"/>
      <c r="D16" s="380"/>
      <c r="E16" s="380" t="s">
        <v>298</v>
      </c>
      <c r="F16" s="380" t="s">
        <v>298</v>
      </c>
      <c r="G16" s="380" t="s">
        <v>298</v>
      </c>
    </row>
    <row r="17" spans="1:7" s="63" customFormat="1" x14ac:dyDescent="0.25">
      <c r="A17" s="1005"/>
      <c r="B17" s="1055" t="s">
        <v>708</v>
      </c>
      <c r="C17" s="1039"/>
      <c r="D17" s="1039"/>
      <c r="E17" s="184"/>
      <c r="F17" s="474"/>
      <c r="G17" s="185"/>
    </row>
    <row r="18" spans="1:7" s="63" customFormat="1" x14ac:dyDescent="0.25">
      <c r="A18" s="1005"/>
      <c r="B18" s="1040" t="s">
        <v>333</v>
      </c>
      <c r="C18" s="1039"/>
      <c r="D18" s="1039"/>
      <c r="E18" s="475">
        <v>7191</v>
      </c>
      <c r="F18" s="476">
        <v>6779</v>
      </c>
      <c r="G18" s="477">
        <f>+F18-E18</f>
        <v>-412</v>
      </c>
    </row>
    <row r="19" spans="1:7" s="63" customFormat="1" x14ac:dyDescent="0.25">
      <c r="A19" s="1005"/>
      <c r="B19" s="1051" t="s">
        <v>709</v>
      </c>
      <c r="C19" s="1039"/>
      <c r="D19" s="1039"/>
      <c r="E19" s="475">
        <v>365</v>
      </c>
      <c r="F19" s="476">
        <v>522</v>
      </c>
      <c r="G19" s="477">
        <f t="shared" ref="G19:G30" si="0">+F19-E19</f>
        <v>157</v>
      </c>
    </row>
    <row r="20" spans="1:7" s="63" customFormat="1" x14ac:dyDescent="0.25">
      <c r="A20" s="1032"/>
      <c r="B20" s="1051" t="s">
        <v>710</v>
      </c>
      <c r="C20" s="1039"/>
      <c r="D20" s="1039"/>
      <c r="E20" s="475">
        <v>2930</v>
      </c>
      <c r="F20" s="476">
        <v>3165</v>
      </c>
      <c r="G20" s="477">
        <f t="shared" si="0"/>
        <v>235</v>
      </c>
    </row>
    <row r="21" spans="1:7" s="63" customFormat="1" x14ac:dyDescent="0.25">
      <c r="A21" s="1005"/>
      <c r="B21" s="1051" t="s">
        <v>1274</v>
      </c>
      <c r="C21" s="1052"/>
      <c r="D21" s="1052"/>
      <c r="E21" s="475">
        <v>600</v>
      </c>
      <c r="F21" s="476">
        <v>400</v>
      </c>
      <c r="G21" s="477">
        <f t="shared" si="0"/>
        <v>-200</v>
      </c>
    </row>
    <row r="22" spans="1:7" s="63" customFormat="1" x14ac:dyDescent="0.25">
      <c r="A22" s="1005"/>
      <c r="B22" s="1056" t="s">
        <v>711</v>
      </c>
      <c r="C22" s="1052"/>
      <c r="D22" s="1052"/>
      <c r="E22" s="475"/>
      <c r="F22" s="476"/>
      <c r="G22" s="477"/>
    </row>
    <row r="23" spans="1:7" s="63" customFormat="1" x14ac:dyDescent="0.25">
      <c r="A23" s="1005"/>
      <c r="B23" s="1051" t="s">
        <v>712</v>
      </c>
      <c r="C23" s="1052"/>
      <c r="D23" s="1052"/>
      <c r="E23" s="475">
        <v>80</v>
      </c>
      <c r="F23" s="476">
        <v>240</v>
      </c>
      <c r="G23" s="477">
        <f t="shared" si="0"/>
        <v>160</v>
      </c>
    </row>
    <row r="24" spans="1:7" s="63" customFormat="1" x14ac:dyDescent="0.25">
      <c r="A24" s="1005"/>
      <c r="B24" s="1051" t="s">
        <v>713</v>
      </c>
      <c r="C24" s="1052"/>
      <c r="D24" s="1052"/>
      <c r="E24" s="475">
        <v>125</v>
      </c>
      <c r="F24" s="476">
        <v>265</v>
      </c>
      <c r="G24" s="477">
        <f t="shared" si="0"/>
        <v>140</v>
      </c>
    </row>
    <row r="25" spans="1:7" s="63" customFormat="1" x14ac:dyDescent="0.25">
      <c r="A25" s="1005"/>
      <c r="B25" s="1051" t="s">
        <v>714</v>
      </c>
      <c r="C25" s="1052"/>
      <c r="D25" s="1052"/>
      <c r="E25" s="475">
        <v>240</v>
      </c>
      <c r="F25" s="476">
        <v>240</v>
      </c>
      <c r="G25" s="477">
        <f t="shared" si="0"/>
        <v>0</v>
      </c>
    </row>
    <row r="26" spans="1:7" s="63" customFormat="1" ht="12.75" customHeight="1" x14ac:dyDescent="0.25">
      <c r="A26" s="1005"/>
      <c r="B26" s="1051" t="s">
        <v>487</v>
      </c>
      <c r="C26" s="1052"/>
      <c r="D26" s="1052"/>
      <c r="E26" s="475">
        <v>200</v>
      </c>
      <c r="F26" s="476">
        <v>200</v>
      </c>
      <c r="G26" s="477">
        <f t="shared" si="0"/>
        <v>0</v>
      </c>
    </row>
    <row r="27" spans="1:7" s="63" customFormat="1" ht="12.75" customHeight="1" x14ac:dyDescent="0.25">
      <c r="A27" s="1005"/>
      <c r="B27" s="1051" t="s">
        <v>621</v>
      </c>
      <c r="C27" s="1052"/>
      <c r="D27" s="1052"/>
      <c r="E27" s="475">
        <v>230</v>
      </c>
      <c r="F27" s="476">
        <v>230</v>
      </c>
      <c r="G27" s="477">
        <f t="shared" si="0"/>
        <v>0</v>
      </c>
    </row>
    <row r="28" spans="1:7" s="63" customFormat="1" x14ac:dyDescent="0.25">
      <c r="A28" s="1005"/>
      <c r="B28" s="1051" t="s">
        <v>715</v>
      </c>
      <c r="C28" s="1052"/>
      <c r="D28" s="1052"/>
      <c r="E28" s="475">
        <v>200</v>
      </c>
      <c r="F28" s="476">
        <v>200</v>
      </c>
      <c r="G28" s="477">
        <f t="shared" si="0"/>
        <v>0</v>
      </c>
    </row>
    <row r="29" spans="1:7" s="63" customFormat="1" x14ac:dyDescent="0.25">
      <c r="A29" s="1005"/>
      <c r="B29" s="1051" t="s">
        <v>716</v>
      </c>
      <c r="C29" s="1052"/>
      <c r="D29" s="1052"/>
      <c r="E29" s="475">
        <v>150</v>
      </c>
      <c r="F29" s="476">
        <v>150</v>
      </c>
      <c r="G29" s="477">
        <f t="shared" si="0"/>
        <v>0</v>
      </c>
    </row>
    <row r="30" spans="1:7" s="63" customFormat="1" x14ac:dyDescent="0.25">
      <c r="A30" s="1005"/>
      <c r="B30" s="1051" t="s">
        <v>1274</v>
      </c>
      <c r="C30" s="1052"/>
      <c r="D30" s="1052"/>
      <c r="E30" s="478">
        <v>1262</v>
      </c>
      <c r="F30" s="479">
        <v>226</v>
      </c>
      <c r="G30" s="480">
        <f t="shared" si="0"/>
        <v>-1036</v>
      </c>
    </row>
    <row r="31" spans="1:7" s="63" customFormat="1" x14ac:dyDescent="0.25">
      <c r="A31" s="1005"/>
      <c r="B31" s="1051" t="s">
        <v>717</v>
      </c>
      <c r="C31" s="1052"/>
      <c r="D31" s="1052"/>
      <c r="E31" s="481">
        <f>SUM(E18:E30)</f>
        <v>13573</v>
      </c>
      <c r="F31" s="482">
        <f>SUM(F18:F30)</f>
        <v>12617</v>
      </c>
      <c r="G31" s="483">
        <f>SUM(G18:G30)</f>
        <v>-956</v>
      </c>
    </row>
    <row r="32" spans="1:7" s="63" customFormat="1" x14ac:dyDescent="0.25">
      <c r="A32" s="1005"/>
      <c r="B32" s="186"/>
      <c r="C32" s="262"/>
      <c r="D32" s="201"/>
      <c r="E32" s="475"/>
      <c r="F32" s="476"/>
      <c r="G32" s="477"/>
    </row>
    <row r="33" spans="1:7" s="63" customFormat="1" x14ac:dyDescent="0.25">
      <c r="A33" s="1005"/>
      <c r="B33" s="1056" t="s">
        <v>718</v>
      </c>
      <c r="C33" s="1052"/>
      <c r="D33" s="1052"/>
      <c r="E33" s="475"/>
      <c r="F33" s="476"/>
      <c r="G33" s="477"/>
    </row>
    <row r="34" spans="1:7" s="63" customFormat="1" x14ac:dyDescent="0.25">
      <c r="A34" s="1005"/>
      <c r="B34" s="1051" t="s">
        <v>719</v>
      </c>
      <c r="C34" s="1052"/>
      <c r="D34" s="1052"/>
      <c r="E34" s="475">
        <v>500</v>
      </c>
      <c r="F34" s="476">
        <v>0</v>
      </c>
      <c r="G34" s="477">
        <f>+F34-E34</f>
        <v>-500</v>
      </c>
    </row>
    <row r="35" spans="1:7" s="63" customFormat="1" x14ac:dyDescent="0.25">
      <c r="A35" s="1005"/>
      <c r="B35" s="1051" t="s">
        <v>720</v>
      </c>
      <c r="C35" s="1052"/>
      <c r="D35" s="1052"/>
      <c r="E35" s="475">
        <v>0</v>
      </c>
      <c r="F35" s="476">
        <v>500</v>
      </c>
      <c r="G35" s="477">
        <f t="shared" ref="G35:G38" si="1">+F35-E35</f>
        <v>500</v>
      </c>
    </row>
    <row r="36" spans="1:7" s="63" customFormat="1" x14ac:dyDescent="0.25">
      <c r="A36" s="1005"/>
      <c r="B36" s="1056" t="s">
        <v>721</v>
      </c>
      <c r="C36" s="1052"/>
      <c r="D36" s="1052"/>
      <c r="E36" s="475"/>
      <c r="F36" s="476"/>
      <c r="G36" s="477">
        <f t="shared" si="1"/>
        <v>0</v>
      </c>
    </row>
    <row r="37" spans="1:7" s="63" customFormat="1" x14ac:dyDescent="0.25">
      <c r="A37" s="1005"/>
      <c r="B37" s="1051" t="s">
        <v>722</v>
      </c>
      <c r="C37" s="1052"/>
      <c r="D37" s="1052"/>
      <c r="E37" s="475">
        <v>450</v>
      </c>
      <c r="F37" s="476">
        <v>0</v>
      </c>
      <c r="G37" s="477">
        <f t="shared" si="1"/>
        <v>-450</v>
      </c>
    </row>
    <row r="38" spans="1:7" s="63" customFormat="1" x14ac:dyDescent="0.25">
      <c r="A38" s="1005"/>
      <c r="B38" s="1051" t="s">
        <v>723</v>
      </c>
      <c r="C38" s="1052"/>
      <c r="D38" s="1052"/>
      <c r="E38" s="484">
        <v>0</v>
      </c>
      <c r="F38" s="485">
        <v>500</v>
      </c>
      <c r="G38" s="477">
        <f t="shared" si="1"/>
        <v>500</v>
      </c>
    </row>
    <row r="39" spans="1:7" s="63" customFormat="1" x14ac:dyDescent="0.25">
      <c r="A39" s="1005"/>
      <c r="B39" s="1057" t="s">
        <v>724</v>
      </c>
      <c r="C39" s="1058"/>
      <c r="D39" s="1058"/>
      <c r="E39" s="486">
        <f>SUM(E34:E38)</f>
        <v>950</v>
      </c>
      <c r="F39" s="487">
        <f>SUM(F34:F38)</f>
        <v>1000</v>
      </c>
      <c r="G39" s="488">
        <f>SUM(G34:G38)</f>
        <v>50</v>
      </c>
    </row>
    <row r="40" spans="1:7" s="63" customFormat="1" x14ac:dyDescent="0.25">
      <c r="A40" s="1005"/>
      <c r="B40" s="1059" t="s">
        <v>786</v>
      </c>
      <c r="C40" s="1059"/>
      <c r="D40" s="1059"/>
      <c r="E40" s="486">
        <v>14523</v>
      </c>
      <c r="F40" s="487">
        <v>13617</v>
      </c>
      <c r="G40" s="488">
        <v>-906</v>
      </c>
    </row>
    <row r="41" spans="1:7" s="63" customFormat="1" x14ac:dyDescent="0.25">
      <c r="A41" s="1005"/>
      <c r="B41" s="262"/>
      <c r="C41" s="262"/>
      <c r="D41" s="201"/>
      <c r="E41" s="201"/>
      <c r="F41" s="201"/>
      <c r="G41" s="201"/>
    </row>
    <row r="42" spans="1:7" s="63" customFormat="1" x14ac:dyDescent="0.25">
      <c r="A42" s="1005"/>
      <c r="B42" s="293" t="s">
        <v>1022</v>
      </c>
      <c r="C42" s="298"/>
      <c r="D42" s="298"/>
      <c r="E42" s="298"/>
      <c r="F42" s="298"/>
      <c r="G42" s="298"/>
    </row>
    <row r="43" spans="1:7" s="63" customFormat="1" ht="80.25" customHeight="1" x14ac:dyDescent="0.25">
      <c r="A43" s="1005"/>
      <c r="B43" s="1060" t="s">
        <v>1107</v>
      </c>
      <c r="C43" s="1060"/>
      <c r="D43" s="1060"/>
      <c r="E43" s="1060"/>
      <c r="F43" s="1060"/>
      <c r="G43" s="1060"/>
    </row>
    <row r="44" spans="1:7" s="63" customFormat="1" x14ac:dyDescent="0.25">
      <c r="A44" s="1005"/>
      <c r="B44" s="289"/>
      <c r="C44" s="289"/>
      <c r="D44" s="289"/>
      <c r="E44" s="289"/>
      <c r="F44" s="289"/>
      <c r="G44" s="289"/>
    </row>
    <row r="45" spans="1:7" s="63" customFormat="1" x14ac:dyDescent="0.25">
      <c r="A45" s="1005"/>
      <c r="B45" s="471"/>
      <c r="C45" s="471"/>
      <c r="D45" s="380"/>
      <c r="E45" s="380" t="s">
        <v>331</v>
      </c>
      <c r="F45" s="380"/>
      <c r="G45" s="380"/>
    </row>
    <row r="46" spans="1:7" s="63" customFormat="1" x14ac:dyDescent="0.25">
      <c r="A46" s="1005"/>
      <c r="B46" s="471"/>
      <c r="C46" s="471"/>
      <c r="D46" s="380"/>
      <c r="E46" s="380" t="s">
        <v>332</v>
      </c>
      <c r="F46" s="380" t="s">
        <v>313</v>
      </c>
      <c r="G46" s="380" t="s">
        <v>314</v>
      </c>
    </row>
    <row r="47" spans="1:7" s="63" customFormat="1" x14ac:dyDescent="0.25">
      <c r="A47" s="1005"/>
      <c r="B47" s="1053" t="s">
        <v>388</v>
      </c>
      <c r="C47" s="1054"/>
      <c r="D47" s="1054"/>
      <c r="E47" s="380" t="s">
        <v>408</v>
      </c>
      <c r="F47" s="380" t="s">
        <v>409</v>
      </c>
      <c r="G47" s="380"/>
    </row>
    <row r="48" spans="1:7" s="63" customFormat="1" x14ac:dyDescent="0.25">
      <c r="A48" s="1005"/>
      <c r="B48" s="473"/>
      <c r="C48" s="473"/>
      <c r="D48" s="380"/>
      <c r="E48" s="380" t="s">
        <v>298</v>
      </c>
      <c r="F48" s="380" t="s">
        <v>298</v>
      </c>
      <c r="G48" s="380" t="s">
        <v>298</v>
      </c>
    </row>
    <row r="49" spans="1:13" s="63" customFormat="1" x14ac:dyDescent="0.25">
      <c r="A49" s="1005"/>
      <c r="B49" s="1055" t="s">
        <v>708</v>
      </c>
      <c r="C49" s="1039"/>
      <c r="D49" s="1039"/>
      <c r="E49" s="475"/>
      <c r="F49" s="476"/>
      <c r="G49" s="477"/>
    </row>
    <row r="50" spans="1:13" s="63" customFormat="1" x14ac:dyDescent="0.25">
      <c r="A50" s="1005"/>
      <c r="B50" s="1040" t="s">
        <v>725</v>
      </c>
      <c r="C50" s="1039"/>
      <c r="D50" s="1039"/>
      <c r="E50" s="475">
        <v>810</v>
      </c>
      <c r="F50" s="476">
        <v>830</v>
      </c>
      <c r="G50" s="477">
        <f>+F50-E50</f>
        <v>20</v>
      </c>
    </row>
    <row r="51" spans="1:13" s="63" customFormat="1" x14ac:dyDescent="0.25">
      <c r="A51" s="1005"/>
      <c r="B51" s="1056" t="s">
        <v>711</v>
      </c>
      <c r="C51" s="1052"/>
      <c r="D51" s="1052"/>
      <c r="E51" s="478" t="s">
        <v>148</v>
      </c>
      <c r="F51" s="479" t="s">
        <v>148</v>
      </c>
      <c r="G51" s="480" t="s">
        <v>148</v>
      </c>
    </row>
    <row r="52" spans="1:13" s="63" customFormat="1" x14ac:dyDescent="0.25">
      <c r="A52" s="1005"/>
      <c r="B52" s="1051" t="s">
        <v>717</v>
      </c>
      <c r="C52" s="1052"/>
      <c r="D52" s="1052"/>
      <c r="E52" s="481">
        <f>SUM(E50:E51)</f>
        <v>810</v>
      </c>
      <c r="F52" s="482">
        <f>SUM(F50:F51)</f>
        <v>830</v>
      </c>
      <c r="G52" s="483">
        <f>SUM(G50:G51)</f>
        <v>20</v>
      </c>
    </row>
    <row r="53" spans="1:13" s="63" customFormat="1" x14ac:dyDescent="0.25">
      <c r="A53" s="1005"/>
      <c r="B53" s="1055" t="s">
        <v>726</v>
      </c>
      <c r="C53" s="1039"/>
      <c r="D53" s="1039"/>
      <c r="E53" s="475"/>
      <c r="F53" s="476"/>
      <c r="G53" s="477"/>
    </row>
    <row r="54" spans="1:13" s="63" customFormat="1" x14ac:dyDescent="0.25">
      <c r="A54" s="1005"/>
      <c r="B54" s="1051" t="s">
        <v>31</v>
      </c>
      <c r="C54" s="1052"/>
      <c r="D54" s="1052"/>
      <c r="E54" s="475">
        <v>1500</v>
      </c>
      <c r="F54" s="476">
        <v>2000</v>
      </c>
      <c r="G54" s="477">
        <f t="shared" ref="G54:G59" si="2">+F54-E54</f>
        <v>500</v>
      </c>
    </row>
    <row r="55" spans="1:13" s="63" customFormat="1" x14ac:dyDescent="0.25">
      <c r="A55" s="1005"/>
      <c r="B55" s="1051" t="s">
        <v>727</v>
      </c>
      <c r="C55" s="1052"/>
      <c r="D55" s="1052"/>
      <c r="E55" s="475">
        <v>0</v>
      </c>
      <c r="F55" s="476">
        <v>435</v>
      </c>
      <c r="G55" s="477">
        <f t="shared" si="2"/>
        <v>435</v>
      </c>
    </row>
    <row r="56" spans="1:13" s="63" customFormat="1" x14ac:dyDescent="0.25">
      <c r="A56" s="1005"/>
      <c r="B56" s="1051" t="s">
        <v>363</v>
      </c>
      <c r="C56" s="1052"/>
      <c r="D56" s="1052"/>
      <c r="E56" s="475">
        <v>593</v>
      </c>
      <c r="F56" s="476">
        <v>560</v>
      </c>
      <c r="G56" s="477">
        <f t="shared" si="2"/>
        <v>-33</v>
      </c>
    </row>
    <row r="57" spans="1:13" s="63" customFormat="1" x14ac:dyDescent="0.25">
      <c r="A57" s="1005"/>
      <c r="B57" s="1051" t="s">
        <v>728</v>
      </c>
      <c r="C57" s="1052"/>
      <c r="D57" s="1052"/>
      <c r="E57" s="475">
        <v>0</v>
      </c>
      <c r="F57" s="476">
        <v>161</v>
      </c>
      <c r="G57" s="477">
        <f t="shared" si="2"/>
        <v>161</v>
      </c>
      <c r="I57" s="470"/>
      <c r="J57" s="470"/>
      <c r="K57" s="470"/>
      <c r="L57" s="470"/>
      <c r="M57" s="470"/>
    </row>
    <row r="58" spans="1:13" s="63" customFormat="1" x14ac:dyDescent="0.25">
      <c r="A58" s="1005"/>
      <c r="B58" s="1056" t="s">
        <v>721</v>
      </c>
      <c r="C58" s="1052"/>
      <c r="D58" s="1052"/>
      <c r="E58" s="475"/>
      <c r="F58" s="476"/>
      <c r="G58" s="477">
        <f t="shared" si="2"/>
        <v>0</v>
      </c>
      <c r="I58" s="470"/>
      <c r="J58" s="470"/>
      <c r="K58" s="470"/>
      <c r="L58" s="470"/>
      <c r="M58" s="470"/>
    </row>
    <row r="59" spans="1:13" s="63" customFormat="1" ht="12.75" customHeight="1" x14ac:dyDescent="0.25">
      <c r="A59" s="1005"/>
      <c r="B59" s="1051" t="s">
        <v>31</v>
      </c>
      <c r="C59" s="1052"/>
      <c r="D59" s="1052"/>
      <c r="E59" s="484">
        <v>0</v>
      </c>
      <c r="F59" s="485">
        <v>2291</v>
      </c>
      <c r="G59" s="492">
        <f t="shared" si="2"/>
        <v>2291</v>
      </c>
      <c r="I59" s="470"/>
      <c r="J59" s="470"/>
      <c r="K59" s="470"/>
      <c r="L59" s="470"/>
      <c r="M59" s="470"/>
    </row>
    <row r="60" spans="1:13" s="63" customFormat="1" ht="12.75" customHeight="1" x14ac:dyDescent="0.25">
      <c r="A60" s="1005"/>
      <c r="B60" s="1057" t="s">
        <v>724</v>
      </c>
      <c r="C60" s="1058"/>
      <c r="D60" s="1058"/>
      <c r="E60" s="486">
        <f>SUM(E54:E59)</f>
        <v>2093</v>
      </c>
      <c r="F60" s="487">
        <f>SUM(F54:F59)</f>
        <v>5447</v>
      </c>
      <c r="G60" s="488">
        <f>SUM(G54:G59)</f>
        <v>3354</v>
      </c>
      <c r="I60" s="470"/>
      <c r="J60" s="470"/>
      <c r="K60" s="470"/>
      <c r="L60" s="470"/>
      <c r="M60" s="470"/>
    </row>
    <row r="61" spans="1:13" s="63" customFormat="1" ht="39.6" x14ac:dyDescent="0.25">
      <c r="A61" s="1005"/>
      <c r="B61" s="202" t="s">
        <v>787</v>
      </c>
      <c r="C61" s="469"/>
      <c r="D61" s="469"/>
      <c r="E61" s="486">
        <v>2093</v>
      </c>
      <c r="F61" s="487">
        <v>6277</v>
      </c>
      <c r="G61" s="488">
        <v>3374</v>
      </c>
    </row>
    <row r="62" spans="1:13" s="63" customFormat="1" ht="15" customHeight="1" x14ac:dyDescent="0.25">
      <c r="A62" s="1005" t="s">
        <v>843</v>
      </c>
      <c r="B62" s="299"/>
      <c r="C62" s="340"/>
      <c r="D62" s="340"/>
      <c r="E62" s="340"/>
      <c r="F62" s="340"/>
      <c r="G62" s="340"/>
      <c r="I62" s="470"/>
      <c r="J62" s="470"/>
      <c r="K62" s="470"/>
      <c r="L62" s="470"/>
      <c r="M62" s="470"/>
    </row>
    <row r="63" spans="1:13" s="63" customFormat="1" x14ac:dyDescent="0.25">
      <c r="A63" s="1005"/>
      <c r="B63" s="299"/>
      <c r="C63" s="340"/>
      <c r="D63" s="340"/>
      <c r="E63" s="340"/>
      <c r="F63" s="340"/>
      <c r="G63" s="340"/>
    </row>
    <row r="64" spans="1:13" s="63" customFormat="1" x14ac:dyDescent="0.25">
      <c r="A64" s="1005"/>
      <c r="B64" s="293" t="s">
        <v>1023</v>
      </c>
      <c r="C64" s="293"/>
      <c r="D64" s="293"/>
      <c r="E64" s="293"/>
      <c r="F64" s="293"/>
      <c r="G64" s="293"/>
      <c r="H64" s="293"/>
    </row>
    <row r="65" spans="1:8" s="63" customFormat="1" x14ac:dyDescent="0.25">
      <c r="A65" s="1005"/>
      <c r="B65" s="291" t="s">
        <v>1024</v>
      </c>
      <c r="C65" s="74"/>
      <c r="D65" s="273"/>
      <c r="E65" s="74"/>
      <c r="F65" s="273"/>
      <c r="G65" s="83"/>
      <c r="H65" s="83"/>
    </row>
    <row r="66" spans="1:8" s="63" customFormat="1" x14ac:dyDescent="0.25">
      <c r="A66" s="1005"/>
      <c r="B66" s="291"/>
      <c r="C66" s="74"/>
      <c r="D66" s="273"/>
      <c r="E66" s="74"/>
      <c r="F66" s="273"/>
      <c r="G66" s="83"/>
      <c r="H66" s="83"/>
    </row>
    <row r="67" spans="1:8" s="63" customFormat="1" ht="26.4" x14ac:dyDescent="0.25">
      <c r="A67" s="1005"/>
      <c r="B67" s="489"/>
      <c r="C67" s="489"/>
      <c r="D67" s="490"/>
      <c r="E67" s="489"/>
      <c r="F67" s="491" t="s">
        <v>1108</v>
      </c>
      <c r="G67" s="491" t="s">
        <v>1109</v>
      </c>
      <c r="H67" s="83"/>
    </row>
    <row r="68" spans="1:8" s="63" customFormat="1" x14ac:dyDescent="0.25">
      <c r="A68" s="1005"/>
      <c r="B68" s="1061" t="s">
        <v>634</v>
      </c>
      <c r="C68" s="1062"/>
      <c r="D68" s="1062"/>
      <c r="E68" s="1062"/>
      <c r="F68" s="493">
        <v>7209</v>
      </c>
      <c r="G68" s="424">
        <f>+F71</f>
        <v>6048</v>
      </c>
      <c r="H68" s="83"/>
    </row>
    <row r="69" spans="1:8" s="63" customFormat="1" x14ac:dyDescent="0.25">
      <c r="A69" s="1005"/>
      <c r="B69" s="1061" t="s">
        <v>782</v>
      </c>
      <c r="C69" s="1062"/>
      <c r="D69" s="1062"/>
      <c r="E69" s="1062"/>
      <c r="F69" s="493">
        <v>0</v>
      </c>
      <c r="G69" s="424">
        <v>0</v>
      </c>
      <c r="H69" s="83"/>
    </row>
    <row r="70" spans="1:8" s="63" customFormat="1" ht="12.75" customHeight="1" x14ac:dyDescent="0.25">
      <c r="A70" s="1005"/>
      <c r="B70" s="1061" t="s">
        <v>635</v>
      </c>
      <c r="C70" s="1062"/>
      <c r="D70" s="1062"/>
      <c r="E70" s="1062"/>
      <c r="F70" s="493">
        <f>+'3'!C206</f>
        <v>-1161</v>
      </c>
      <c r="G70" s="424">
        <f>+'3'!D206</f>
        <v>-1161</v>
      </c>
      <c r="H70" s="83"/>
    </row>
    <row r="71" spans="1:8" s="63" customFormat="1" x14ac:dyDescent="0.25">
      <c r="A71" s="1005"/>
      <c r="B71" s="1063" t="s">
        <v>783</v>
      </c>
      <c r="C71" s="1064"/>
      <c r="D71" s="1064"/>
      <c r="E71" s="1064"/>
      <c r="F71" s="495">
        <f>SUM(F68:F70)</f>
        <v>6048</v>
      </c>
      <c r="G71" s="422">
        <f>SUM(G68:G70)</f>
        <v>4887</v>
      </c>
      <c r="H71" s="83"/>
    </row>
    <row r="72" spans="1:8" s="63" customFormat="1" x14ac:dyDescent="0.25">
      <c r="B72" s="299"/>
      <c r="C72" s="340"/>
      <c r="D72" s="340"/>
      <c r="E72" s="340"/>
      <c r="F72" s="340"/>
      <c r="G72" s="340"/>
    </row>
    <row r="73" spans="1:8" s="63" customFormat="1" x14ac:dyDescent="0.25">
      <c r="B73" s="299"/>
      <c r="C73" s="340"/>
      <c r="D73" s="340"/>
      <c r="E73" s="340"/>
      <c r="F73" s="340"/>
      <c r="G73" s="340"/>
    </row>
    <row r="74" spans="1:8" s="63" customFormat="1" x14ac:dyDescent="0.25">
      <c r="B74" s="299"/>
      <c r="C74" s="340"/>
      <c r="D74" s="340"/>
      <c r="E74" s="340"/>
      <c r="F74" s="340"/>
      <c r="G74" s="340"/>
    </row>
    <row r="75" spans="1:8" s="63" customFormat="1" x14ac:dyDescent="0.25">
      <c r="B75" s="299"/>
      <c r="C75" s="340"/>
      <c r="D75" s="340"/>
      <c r="E75" s="340"/>
      <c r="F75" s="340"/>
      <c r="G75" s="340"/>
    </row>
    <row r="76" spans="1:8" s="63" customFormat="1" x14ac:dyDescent="0.25">
      <c r="B76" s="299"/>
      <c r="C76" s="340"/>
      <c r="D76" s="340"/>
      <c r="E76" s="340"/>
      <c r="F76" s="340"/>
      <c r="G76" s="340"/>
    </row>
    <row r="77" spans="1:8" s="63" customFormat="1" x14ac:dyDescent="0.25">
      <c r="B77" s="299"/>
      <c r="C77" s="340"/>
      <c r="D77" s="340"/>
      <c r="E77" s="340"/>
      <c r="F77" s="340"/>
      <c r="G77" s="340"/>
    </row>
    <row r="78" spans="1:8" s="63" customFormat="1" x14ac:dyDescent="0.25">
      <c r="B78" s="299"/>
      <c r="C78" s="340"/>
      <c r="D78" s="340"/>
      <c r="E78" s="340"/>
      <c r="F78" s="340"/>
      <c r="G78" s="340"/>
    </row>
    <row r="79" spans="1:8" s="63" customFormat="1" x14ac:dyDescent="0.25">
      <c r="B79" s="299"/>
      <c r="C79" s="340"/>
      <c r="D79" s="340"/>
      <c r="E79" s="340"/>
      <c r="F79" s="340"/>
      <c r="G79" s="340"/>
    </row>
    <row r="80" spans="1:8" s="63" customFormat="1" x14ac:dyDescent="0.25">
      <c r="B80" s="299"/>
      <c r="C80" s="340"/>
      <c r="D80" s="340"/>
      <c r="E80" s="340"/>
      <c r="F80" s="340"/>
      <c r="G80" s="340"/>
    </row>
    <row r="81" spans="2:13" s="63" customFormat="1" x14ac:dyDescent="0.25">
      <c r="B81" s="299"/>
      <c r="C81" s="340"/>
      <c r="D81" s="340"/>
      <c r="E81" s="340"/>
      <c r="F81" s="340"/>
      <c r="G81" s="340"/>
    </row>
    <row r="82" spans="2:13" s="63" customFormat="1" x14ac:dyDescent="0.25">
      <c r="B82" s="299"/>
      <c r="C82" s="340"/>
      <c r="D82" s="340"/>
      <c r="E82" s="340"/>
      <c r="F82" s="340"/>
      <c r="G82" s="340"/>
      <c r="I82" s="470"/>
      <c r="J82" s="470"/>
      <c r="K82" s="470"/>
      <c r="L82" s="470"/>
      <c r="M82" s="470"/>
    </row>
    <row r="83" spans="2:13" s="63" customFormat="1" x14ac:dyDescent="0.25">
      <c r="B83" s="299"/>
      <c r="C83" s="340"/>
      <c r="D83" s="340"/>
      <c r="E83" s="340"/>
      <c r="F83" s="340"/>
      <c r="G83" s="340"/>
    </row>
    <row r="84" spans="2:13" s="63" customFormat="1" x14ac:dyDescent="0.25">
      <c r="B84" s="299"/>
      <c r="C84" s="340"/>
      <c r="D84" s="340"/>
      <c r="E84" s="340"/>
      <c r="F84" s="340"/>
      <c r="G84" s="340"/>
    </row>
    <row r="85" spans="2:13" s="63" customFormat="1" x14ac:dyDescent="0.25">
      <c r="B85" s="299"/>
      <c r="C85" s="340"/>
      <c r="D85" s="340"/>
      <c r="E85" s="340"/>
      <c r="F85" s="340"/>
      <c r="G85" s="340"/>
    </row>
    <row r="86" spans="2:13" s="63" customFormat="1" x14ac:dyDescent="0.25">
      <c r="B86" s="299"/>
      <c r="C86" s="340"/>
      <c r="D86" s="340"/>
      <c r="E86" s="340"/>
      <c r="F86" s="340"/>
      <c r="G86" s="340"/>
    </row>
    <row r="87" spans="2:13" s="63" customFormat="1" x14ac:dyDescent="0.25">
      <c r="B87" s="299"/>
      <c r="C87" s="340"/>
      <c r="D87" s="340"/>
      <c r="E87" s="340"/>
      <c r="F87" s="340"/>
      <c r="G87" s="340"/>
    </row>
    <row r="88" spans="2:13" s="63" customFormat="1" x14ac:dyDescent="0.25">
      <c r="B88" s="299"/>
      <c r="C88" s="340"/>
      <c r="D88" s="340"/>
      <c r="E88" s="340"/>
      <c r="F88" s="340"/>
      <c r="G88" s="340"/>
    </row>
    <row r="89" spans="2:13" s="63" customFormat="1" x14ac:dyDescent="0.25">
      <c r="B89" s="299"/>
      <c r="C89" s="340"/>
      <c r="D89" s="340"/>
      <c r="E89" s="340"/>
      <c r="F89" s="340"/>
      <c r="G89" s="340"/>
    </row>
    <row r="90" spans="2:13" s="63" customFormat="1" x14ac:dyDescent="0.25">
      <c r="B90" s="299"/>
      <c r="C90" s="340"/>
      <c r="D90" s="340"/>
      <c r="E90" s="340"/>
      <c r="F90" s="340"/>
      <c r="G90" s="340"/>
    </row>
    <row r="91" spans="2:13" s="63" customFormat="1" x14ac:dyDescent="0.25">
      <c r="B91" s="299"/>
      <c r="C91" s="340"/>
      <c r="D91" s="340"/>
      <c r="E91" s="340"/>
      <c r="F91" s="340"/>
      <c r="G91" s="340"/>
    </row>
    <row r="92" spans="2:13" s="63" customFormat="1" x14ac:dyDescent="0.25">
      <c r="B92" s="299"/>
      <c r="C92" s="340"/>
      <c r="D92" s="340"/>
      <c r="E92" s="340"/>
      <c r="F92" s="340"/>
      <c r="G92" s="340"/>
    </row>
    <row r="93" spans="2:13" s="63" customFormat="1" x14ac:dyDescent="0.25">
      <c r="B93" s="299"/>
      <c r="C93" s="340"/>
      <c r="D93" s="340"/>
      <c r="E93" s="340"/>
      <c r="F93" s="340"/>
      <c r="G93" s="340"/>
    </row>
    <row r="94" spans="2:13" s="63" customFormat="1" x14ac:dyDescent="0.25">
      <c r="B94" s="299"/>
      <c r="C94" s="340"/>
      <c r="D94" s="340"/>
      <c r="E94" s="340"/>
      <c r="F94" s="340"/>
      <c r="G94" s="340"/>
    </row>
    <row r="95" spans="2:13" s="63" customFormat="1" x14ac:dyDescent="0.25">
      <c r="B95" s="299"/>
      <c r="C95" s="340"/>
      <c r="D95" s="340"/>
      <c r="E95" s="340"/>
      <c r="F95" s="340"/>
      <c r="G95" s="340"/>
    </row>
    <row r="96" spans="2:13" s="63" customFormat="1" x14ac:dyDescent="0.25">
      <c r="B96" s="299"/>
      <c r="C96" s="340"/>
      <c r="D96" s="340"/>
      <c r="E96" s="340"/>
      <c r="F96" s="340"/>
      <c r="G96" s="340"/>
    </row>
    <row r="97" spans="2:7" s="63" customFormat="1" x14ac:dyDescent="0.25">
      <c r="B97" s="299"/>
      <c r="C97" s="340"/>
      <c r="D97" s="340"/>
      <c r="E97" s="340"/>
      <c r="F97" s="340"/>
      <c r="G97" s="340"/>
    </row>
    <row r="98" spans="2:7" s="63" customFormat="1" x14ac:dyDescent="0.25">
      <c r="B98" s="299"/>
      <c r="C98" s="340"/>
      <c r="D98" s="340"/>
      <c r="E98" s="340"/>
      <c r="F98" s="340"/>
      <c r="G98" s="340"/>
    </row>
    <row r="99" spans="2:7" s="63" customFormat="1" x14ac:dyDescent="0.25">
      <c r="B99" s="299"/>
      <c r="C99" s="340"/>
      <c r="D99" s="340"/>
      <c r="E99" s="340"/>
      <c r="F99" s="340"/>
      <c r="G99" s="340"/>
    </row>
    <row r="100" spans="2:7" s="63" customFormat="1" x14ac:dyDescent="0.25">
      <c r="B100" s="299"/>
      <c r="C100" s="340"/>
      <c r="D100" s="340"/>
      <c r="E100" s="340"/>
      <c r="F100" s="340"/>
      <c r="G100" s="340"/>
    </row>
    <row r="101" spans="2:7" s="63" customFormat="1" x14ac:dyDescent="0.25">
      <c r="B101" s="299"/>
      <c r="C101" s="340"/>
      <c r="D101" s="340"/>
      <c r="E101" s="340"/>
      <c r="F101" s="340"/>
      <c r="G101" s="340"/>
    </row>
    <row r="102" spans="2:7" s="63" customFormat="1" x14ac:dyDescent="0.25">
      <c r="B102" s="299"/>
      <c r="C102" s="340"/>
      <c r="D102" s="340"/>
      <c r="E102" s="340"/>
      <c r="F102" s="340"/>
      <c r="G102" s="340"/>
    </row>
    <row r="103" spans="2:7" s="63" customFormat="1" x14ac:dyDescent="0.25">
      <c r="B103" s="299"/>
      <c r="C103" s="340"/>
      <c r="D103" s="340"/>
      <c r="E103" s="340"/>
      <c r="F103" s="340"/>
      <c r="G103" s="340"/>
    </row>
    <row r="104" spans="2:7" s="63" customFormat="1" x14ac:dyDescent="0.25">
      <c r="B104" s="299"/>
      <c r="C104" s="340"/>
      <c r="D104" s="340"/>
      <c r="E104" s="340"/>
      <c r="F104" s="340"/>
      <c r="G104" s="340"/>
    </row>
    <row r="105" spans="2:7" s="63" customFormat="1" x14ac:dyDescent="0.25">
      <c r="B105" s="299"/>
      <c r="C105" s="340"/>
      <c r="D105" s="340"/>
      <c r="E105" s="340"/>
      <c r="F105" s="340"/>
      <c r="G105" s="340"/>
    </row>
    <row r="106" spans="2:7" s="63" customFormat="1" ht="15" customHeight="1" x14ac:dyDescent="0.25">
      <c r="B106" s="299"/>
      <c r="C106" s="340"/>
      <c r="D106" s="340"/>
      <c r="E106" s="340"/>
      <c r="F106" s="340"/>
      <c r="G106" s="340"/>
    </row>
    <row r="107" spans="2:7" s="63" customFormat="1" x14ac:dyDescent="0.25">
      <c r="B107" s="299"/>
      <c r="C107" s="340"/>
      <c r="D107" s="340"/>
      <c r="E107" s="340"/>
      <c r="F107" s="340"/>
      <c r="G107" s="340"/>
    </row>
    <row r="108" spans="2:7" s="63" customFormat="1" x14ac:dyDescent="0.25">
      <c r="B108" s="299"/>
      <c r="C108" s="340"/>
      <c r="D108" s="340"/>
      <c r="E108" s="340"/>
      <c r="F108" s="340"/>
      <c r="G108" s="340"/>
    </row>
    <row r="109" spans="2:7" s="63" customFormat="1" x14ac:dyDescent="0.25">
      <c r="B109" s="299"/>
      <c r="C109" s="340"/>
      <c r="D109" s="340"/>
      <c r="E109" s="340"/>
      <c r="F109" s="340"/>
      <c r="G109" s="340"/>
    </row>
    <row r="110" spans="2:7" s="63" customFormat="1" x14ac:dyDescent="0.25">
      <c r="B110" s="299"/>
      <c r="C110" s="340"/>
      <c r="D110" s="340"/>
      <c r="E110" s="340"/>
      <c r="F110" s="340"/>
      <c r="G110" s="340"/>
    </row>
    <row r="111" spans="2:7" s="63" customFormat="1" ht="15" customHeight="1" x14ac:dyDescent="0.25">
      <c r="B111" s="299"/>
      <c r="C111" s="340"/>
      <c r="D111" s="340"/>
      <c r="E111" s="340"/>
      <c r="F111" s="340"/>
      <c r="G111" s="340"/>
    </row>
    <row r="112" spans="2:7" s="63" customFormat="1" ht="15" customHeight="1" x14ac:dyDescent="0.25">
      <c r="B112" s="299"/>
      <c r="C112" s="340"/>
      <c r="D112" s="340"/>
      <c r="E112" s="340"/>
      <c r="F112" s="340"/>
      <c r="G112" s="340"/>
    </row>
    <row r="113" spans="2:7" s="63" customFormat="1" ht="15" customHeight="1" x14ac:dyDescent="0.25">
      <c r="B113" s="299"/>
      <c r="C113" s="340"/>
      <c r="D113" s="340"/>
      <c r="E113" s="340"/>
      <c r="F113" s="340"/>
      <c r="G113" s="340"/>
    </row>
    <row r="114" spans="2:7" s="63" customFormat="1" ht="15" customHeight="1" x14ac:dyDescent="0.25">
      <c r="B114" s="299"/>
      <c r="C114" s="340"/>
      <c r="D114" s="340"/>
      <c r="E114" s="340"/>
      <c r="F114" s="340"/>
      <c r="G114" s="340"/>
    </row>
    <row r="115" spans="2:7" s="63" customFormat="1" ht="15" customHeight="1" x14ac:dyDescent="0.25">
      <c r="B115" s="299"/>
      <c r="C115" s="340"/>
      <c r="D115" s="340"/>
      <c r="E115" s="340"/>
      <c r="F115" s="340"/>
      <c r="G115" s="340"/>
    </row>
    <row r="116" spans="2:7" s="63" customFormat="1" ht="27" customHeight="1" x14ac:dyDescent="0.25">
      <c r="B116" s="299"/>
      <c r="C116" s="340"/>
      <c r="D116" s="340"/>
      <c r="E116" s="340"/>
      <c r="F116" s="340"/>
      <c r="G116" s="340"/>
    </row>
    <row r="117" spans="2:7" s="63" customFormat="1" ht="12.75" customHeight="1" x14ac:dyDescent="0.25">
      <c r="B117" s="299"/>
      <c r="C117" s="340"/>
      <c r="D117" s="340"/>
      <c r="E117" s="340"/>
      <c r="F117" s="340"/>
      <c r="G117" s="340"/>
    </row>
    <row r="118" spans="2:7" s="63" customFormat="1" ht="12.75" customHeight="1" x14ac:dyDescent="0.25">
      <c r="B118" s="299"/>
      <c r="C118" s="340"/>
      <c r="D118" s="340"/>
      <c r="E118" s="340"/>
      <c r="F118" s="340"/>
      <c r="G118" s="340"/>
    </row>
    <row r="119" spans="2:7" s="63" customFormat="1" ht="12.75" customHeight="1" x14ac:dyDescent="0.25">
      <c r="B119" s="299"/>
      <c r="C119" s="340"/>
      <c r="D119" s="340"/>
      <c r="E119" s="340"/>
      <c r="F119" s="340"/>
      <c r="G119" s="340"/>
    </row>
    <row r="120" spans="2:7" s="63" customFormat="1" ht="12.75" customHeight="1" x14ac:dyDescent="0.25">
      <c r="B120" s="299"/>
      <c r="C120" s="340"/>
      <c r="D120" s="340"/>
      <c r="E120" s="340"/>
      <c r="F120" s="340"/>
      <c r="G120" s="340"/>
    </row>
    <row r="121" spans="2:7" s="63" customFormat="1" ht="12.75" customHeight="1" x14ac:dyDescent="0.25">
      <c r="B121" s="299"/>
      <c r="C121" s="340"/>
      <c r="D121" s="340"/>
      <c r="E121" s="340"/>
      <c r="F121" s="340"/>
      <c r="G121" s="340"/>
    </row>
    <row r="122" spans="2:7" s="63" customFormat="1" ht="12.75" customHeight="1" x14ac:dyDescent="0.25">
      <c r="B122" s="299"/>
      <c r="C122" s="340"/>
      <c r="D122" s="340"/>
      <c r="E122" s="340"/>
      <c r="F122" s="340"/>
      <c r="G122" s="340"/>
    </row>
    <row r="123" spans="2:7" s="63" customFormat="1" ht="12.75" customHeight="1" x14ac:dyDescent="0.25">
      <c r="B123" s="299"/>
      <c r="C123" s="340"/>
      <c r="D123" s="340"/>
      <c r="E123" s="340"/>
      <c r="F123" s="340"/>
      <c r="G123" s="340"/>
    </row>
    <row r="124" spans="2:7" s="63" customFormat="1" ht="12.75" customHeight="1" x14ac:dyDescent="0.25">
      <c r="B124" s="299"/>
      <c r="C124" s="340"/>
      <c r="D124" s="340"/>
      <c r="E124" s="340"/>
      <c r="F124" s="340"/>
      <c r="G124" s="340"/>
    </row>
    <row r="125" spans="2:7" s="63" customFormat="1" ht="12.75" customHeight="1" x14ac:dyDescent="0.25">
      <c r="B125" s="299"/>
      <c r="C125" s="340"/>
      <c r="D125" s="340"/>
      <c r="E125" s="340"/>
      <c r="F125" s="340"/>
      <c r="G125" s="340"/>
    </row>
    <row r="126" spans="2:7" s="63" customFormat="1" ht="12.75" customHeight="1" x14ac:dyDescent="0.25">
      <c r="B126" s="299"/>
      <c r="C126" s="340"/>
      <c r="D126" s="340"/>
      <c r="E126" s="340"/>
      <c r="F126" s="340"/>
      <c r="G126" s="340"/>
    </row>
    <row r="127" spans="2:7" s="63" customFormat="1" ht="12.75" customHeight="1" x14ac:dyDescent="0.25">
      <c r="B127" s="299"/>
      <c r="C127" s="340"/>
      <c r="D127" s="340"/>
      <c r="E127" s="340"/>
      <c r="F127" s="340"/>
      <c r="G127" s="340"/>
    </row>
    <row r="128" spans="2:7" s="63" customFormat="1" ht="12.75" customHeight="1" x14ac:dyDescent="0.25">
      <c r="B128" s="299"/>
      <c r="C128" s="340"/>
      <c r="D128" s="340"/>
      <c r="E128" s="340"/>
      <c r="F128" s="340"/>
      <c r="G128" s="340"/>
    </row>
    <row r="129" spans="2:7" s="63" customFormat="1" ht="12.75" customHeight="1" x14ac:dyDescent="0.25">
      <c r="B129" s="299"/>
      <c r="C129" s="340"/>
      <c r="D129" s="340"/>
      <c r="E129" s="340"/>
      <c r="F129" s="340"/>
      <c r="G129" s="340"/>
    </row>
    <row r="130" spans="2:7" s="63" customFormat="1" ht="12.75" customHeight="1" x14ac:dyDescent="0.25">
      <c r="B130" s="299"/>
      <c r="C130" s="340"/>
      <c r="D130" s="340"/>
      <c r="E130" s="340"/>
      <c r="F130" s="340"/>
      <c r="G130" s="340"/>
    </row>
    <row r="131" spans="2:7" s="63" customFormat="1" ht="12.75" customHeight="1" x14ac:dyDescent="0.25">
      <c r="B131" s="299"/>
      <c r="C131" s="340"/>
      <c r="D131" s="340"/>
      <c r="E131" s="340"/>
      <c r="F131" s="340"/>
      <c r="G131" s="340"/>
    </row>
    <row r="132" spans="2:7" s="63" customFormat="1" ht="12.75" customHeight="1" x14ac:dyDescent="0.25">
      <c r="B132" s="299"/>
      <c r="C132" s="340"/>
      <c r="D132" s="340"/>
      <c r="E132" s="340"/>
      <c r="F132" s="340"/>
      <c r="G132" s="340"/>
    </row>
    <row r="133" spans="2:7" s="63" customFormat="1" ht="12.75" customHeight="1" x14ac:dyDescent="0.25">
      <c r="B133" s="299"/>
      <c r="C133" s="340"/>
      <c r="D133" s="340"/>
      <c r="E133" s="340"/>
      <c r="F133" s="340"/>
      <c r="G133" s="340"/>
    </row>
    <row r="134" spans="2:7" s="63" customFormat="1" ht="12.75" customHeight="1" x14ac:dyDescent="0.25">
      <c r="B134" s="299"/>
      <c r="C134" s="340"/>
      <c r="D134" s="340"/>
      <c r="E134" s="340"/>
      <c r="F134" s="340"/>
      <c r="G134" s="340"/>
    </row>
    <row r="135" spans="2:7" s="63" customFormat="1" ht="12.75" customHeight="1" x14ac:dyDescent="0.25">
      <c r="B135" s="299"/>
      <c r="C135" s="340"/>
      <c r="D135" s="340"/>
      <c r="E135" s="340"/>
      <c r="F135" s="340"/>
      <c r="G135" s="340"/>
    </row>
    <row r="136" spans="2:7" s="63" customFormat="1" ht="12.75" customHeight="1" x14ac:dyDescent="0.25">
      <c r="B136" s="299"/>
      <c r="C136" s="340"/>
      <c r="D136" s="340"/>
      <c r="E136" s="340"/>
      <c r="F136" s="340"/>
      <c r="G136" s="340"/>
    </row>
    <row r="137" spans="2:7" s="63" customFormat="1" ht="12.75" customHeight="1" x14ac:dyDescent="0.25">
      <c r="B137" s="299"/>
      <c r="C137" s="340"/>
      <c r="D137" s="340"/>
      <c r="E137" s="340"/>
      <c r="F137" s="340"/>
      <c r="G137" s="340"/>
    </row>
    <row r="138" spans="2:7" s="63" customFormat="1" ht="12.75" customHeight="1" x14ac:dyDescent="0.25">
      <c r="B138" s="299"/>
      <c r="C138" s="340"/>
      <c r="D138" s="340"/>
      <c r="E138" s="340"/>
      <c r="F138" s="340"/>
      <c r="G138" s="340"/>
    </row>
    <row r="139" spans="2:7" s="63" customFormat="1" ht="12.75" customHeight="1" x14ac:dyDescent="0.25">
      <c r="B139" s="299"/>
      <c r="C139" s="340"/>
      <c r="D139" s="340"/>
      <c r="E139" s="340"/>
      <c r="F139" s="340"/>
      <c r="G139" s="340"/>
    </row>
    <row r="140" spans="2:7" s="63" customFormat="1" ht="12.75" customHeight="1" x14ac:dyDescent="0.25">
      <c r="B140" s="299"/>
      <c r="C140" s="340"/>
      <c r="D140" s="340"/>
      <c r="E140" s="340"/>
      <c r="F140" s="340"/>
      <c r="G140" s="340"/>
    </row>
    <row r="141" spans="2:7" s="63" customFormat="1" ht="12.75" customHeight="1" x14ac:dyDescent="0.25">
      <c r="B141" s="299"/>
      <c r="C141" s="340"/>
      <c r="D141" s="340"/>
      <c r="E141" s="340"/>
      <c r="F141" s="340"/>
      <c r="G141" s="340"/>
    </row>
    <row r="142" spans="2:7" s="63" customFormat="1" ht="12.75" customHeight="1" x14ac:dyDescent="0.25">
      <c r="B142" s="299"/>
      <c r="C142" s="340"/>
      <c r="D142" s="340"/>
      <c r="E142" s="340"/>
      <c r="F142" s="340"/>
      <c r="G142" s="340"/>
    </row>
    <row r="143" spans="2:7" s="63" customFormat="1" ht="12.75" customHeight="1" x14ac:dyDescent="0.25">
      <c r="B143" s="299"/>
      <c r="C143" s="340"/>
      <c r="D143" s="340"/>
      <c r="E143" s="340"/>
      <c r="F143" s="340"/>
      <c r="G143" s="340"/>
    </row>
    <row r="144" spans="2:7" s="63" customFormat="1" ht="12.75" customHeight="1" x14ac:dyDescent="0.25">
      <c r="B144" s="299"/>
      <c r="C144" s="340"/>
      <c r="D144" s="340"/>
      <c r="E144" s="340"/>
      <c r="F144" s="340"/>
      <c r="G144" s="340"/>
    </row>
    <row r="145" spans="2:7" s="63" customFormat="1" ht="12.75" customHeight="1" x14ac:dyDescent="0.25">
      <c r="B145" s="299"/>
      <c r="C145" s="340"/>
      <c r="D145" s="340"/>
      <c r="E145" s="340"/>
      <c r="F145" s="340"/>
      <c r="G145" s="340"/>
    </row>
    <row r="146" spans="2:7" s="63" customFormat="1" ht="12.75" customHeight="1" x14ac:dyDescent="0.25">
      <c r="B146" s="299"/>
      <c r="C146" s="340"/>
      <c r="D146" s="340"/>
      <c r="E146" s="340"/>
      <c r="F146" s="340"/>
      <c r="G146" s="340"/>
    </row>
    <row r="147" spans="2:7" s="63" customFormat="1" ht="12.75" customHeight="1" x14ac:dyDescent="0.25">
      <c r="B147" s="299"/>
      <c r="C147" s="340"/>
      <c r="D147" s="340"/>
      <c r="E147" s="340"/>
      <c r="F147" s="340"/>
      <c r="G147" s="340"/>
    </row>
    <row r="148" spans="2:7" s="63" customFormat="1" ht="12.75" customHeight="1" x14ac:dyDescent="0.25">
      <c r="B148" s="299"/>
      <c r="C148" s="340"/>
      <c r="D148" s="340"/>
      <c r="E148" s="340"/>
      <c r="F148" s="340"/>
      <c r="G148" s="340"/>
    </row>
    <row r="149" spans="2:7" s="63" customFormat="1" ht="15" customHeight="1" x14ac:dyDescent="0.25">
      <c r="B149" s="299"/>
      <c r="C149" s="340"/>
      <c r="D149" s="340"/>
      <c r="E149" s="340"/>
      <c r="F149" s="340"/>
      <c r="G149" s="340"/>
    </row>
    <row r="150" spans="2:7" s="63" customFormat="1" x14ac:dyDescent="0.25">
      <c r="B150" s="299"/>
      <c r="C150" s="340"/>
      <c r="D150" s="340"/>
      <c r="E150" s="340"/>
      <c r="F150" s="340"/>
      <c r="G150" s="340"/>
    </row>
    <row r="151" spans="2:7" s="63" customFormat="1" x14ac:dyDescent="0.25">
      <c r="B151" s="299"/>
      <c r="C151" s="340"/>
      <c r="D151" s="340"/>
      <c r="E151" s="340"/>
      <c r="F151" s="340"/>
      <c r="G151" s="340"/>
    </row>
    <row r="152" spans="2:7" s="63" customFormat="1" x14ac:dyDescent="0.25">
      <c r="B152" s="299"/>
      <c r="C152" s="340"/>
      <c r="D152" s="340"/>
      <c r="E152" s="340"/>
      <c r="F152" s="340"/>
      <c r="G152" s="340"/>
    </row>
    <row r="153" spans="2:7" s="63" customFormat="1" x14ac:dyDescent="0.25">
      <c r="B153" s="299"/>
      <c r="C153" s="340"/>
      <c r="D153" s="340"/>
      <c r="E153" s="340"/>
      <c r="F153" s="340"/>
      <c r="G153" s="340"/>
    </row>
    <row r="154" spans="2:7" s="63" customFormat="1" x14ac:dyDescent="0.25">
      <c r="B154" s="299"/>
      <c r="C154" s="340"/>
      <c r="D154" s="340"/>
      <c r="E154" s="340"/>
      <c r="F154" s="340"/>
      <c r="G154" s="340"/>
    </row>
    <row r="155" spans="2:7" s="63" customFormat="1" ht="12.75" customHeight="1" x14ac:dyDescent="0.25">
      <c r="B155" s="299"/>
      <c r="C155" s="340"/>
      <c r="D155" s="340"/>
      <c r="E155" s="340"/>
      <c r="F155" s="340"/>
      <c r="G155" s="340"/>
    </row>
    <row r="156" spans="2:7" s="63" customFormat="1" ht="12.75" customHeight="1" x14ac:dyDescent="0.25">
      <c r="B156" s="299"/>
      <c r="C156" s="340"/>
      <c r="D156" s="340"/>
      <c r="E156" s="340"/>
      <c r="F156" s="340"/>
      <c r="G156" s="340"/>
    </row>
    <row r="157" spans="2:7" s="63" customFormat="1" x14ac:dyDescent="0.25">
      <c r="B157" s="299"/>
      <c r="C157" s="340"/>
      <c r="D157" s="340"/>
      <c r="E157" s="340"/>
      <c r="F157" s="340"/>
      <c r="G157" s="340"/>
    </row>
    <row r="158" spans="2:7" s="63" customFormat="1" x14ac:dyDescent="0.25">
      <c r="B158" s="299"/>
      <c r="C158" s="340"/>
      <c r="D158" s="340"/>
      <c r="E158" s="340"/>
      <c r="F158" s="340"/>
      <c r="G158" s="340"/>
    </row>
    <row r="159" spans="2:7" s="63" customFormat="1" x14ac:dyDescent="0.25">
      <c r="B159" s="299"/>
      <c r="C159" s="340"/>
      <c r="D159" s="340"/>
      <c r="E159" s="340"/>
      <c r="F159" s="340"/>
      <c r="G159" s="340"/>
    </row>
    <row r="160" spans="2:7" s="63" customFormat="1" x14ac:dyDescent="0.25">
      <c r="B160" s="299"/>
      <c r="C160" s="340"/>
      <c r="D160" s="340"/>
      <c r="E160" s="340"/>
      <c r="F160" s="340"/>
      <c r="G160" s="340"/>
    </row>
    <row r="161" spans="2:7" s="63" customFormat="1" x14ac:dyDescent="0.25">
      <c r="B161" s="299"/>
      <c r="C161" s="340"/>
      <c r="D161" s="340"/>
      <c r="E161" s="340"/>
      <c r="F161" s="340"/>
      <c r="G161" s="340"/>
    </row>
    <row r="162" spans="2:7" s="63" customFormat="1" x14ac:dyDescent="0.25">
      <c r="B162" s="299"/>
      <c r="C162" s="340"/>
      <c r="D162" s="340"/>
      <c r="E162" s="340"/>
      <c r="F162" s="340"/>
      <c r="G162" s="340"/>
    </row>
    <row r="163" spans="2:7" s="63" customFormat="1" x14ac:dyDescent="0.25">
      <c r="B163" s="299"/>
      <c r="C163" s="340"/>
      <c r="D163" s="340"/>
      <c r="E163" s="340"/>
      <c r="F163" s="340"/>
      <c r="G163" s="340"/>
    </row>
    <row r="164" spans="2:7" s="63" customFormat="1" x14ac:dyDescent="0.25">
      <c r="B164" s="299"/>
      <c r="C164" s="340"/>
      <c r="D164" s="340"/>
      <c r="E164" s="340"/>
      <c r="F164" s="340"/>
      <c r="G164" s="340"/>
    </row>
    <row r="165" spans="2:7" s="63" customFormat="1" x14ac:dyDescent="0.25">
      <c r="B165" s="299"/>
      <c r="C165" s="340"/>
      <c r="D165" s="340"/>
      <c r="E165" s="340"/>
      <c r="F165" s="340"/>
      <c r="G165" s="340"/>
    </row>
    <row r="166" spans="2:7" s="63" customFormat="1" x14ac:dyDescent="0.25">
      <c r="B166" s="299"/>
      <c r="C166" s="340"/>
      <c r="D166" s="340"/>
      <c r="E166" s="340"/>
      <c r="F166" s="340"/>
      <c r="G166" s="340"/>
    </row>
    <row r="167" spans="2:7" s="63" customFormat="1" x14ac:dyDescent="0.25">
      <c r="B167" s="299"/>
      <c r="C167" s="340"/>
      <c r="D167" s="340"/>
      <c r="E167" s="340"/>
      <c r="F167" s="340"/>
      <c r="G167" s="340"/>
    </row>
    <row r="168" spans="2:7" s="63" customFormat="1" x14ac:dyDescent="0.25">
      <c r="B168" s="299"/>
      <c r="C168" s="340"/>
      <c r="D168" s="340"/>
      <c r="E168" s="340"/>
      <c r="F168" s="340"/>
      <c r="G168" s="340"/>
    </row>
    <row r="169" spans="2:7" s="63" customFormat="1" x14ac:dyDescent="0.25">
      <c r="B169" s="299"/>
      <c r="C169" s="340"/>
      <c r="D169" s="340"/>
      <c r="E169" s="340"/>
      <c r="F169" s="340"/>
      <c r="G169" s="340"/>
    </row>
    <row r="170" spans="2:7" s="63" customFormat="1" x14ac:dyDescent="0.25">
      <c r="B170" s="299"/>
      <c r="C170" s="340"/>
      <c r="D170" s="340"/>
      <c r="E170" s="340"/>
      <c r="F170" s="340"/>
      <c r="G170" s="340"/>
    </row>
    <row r="171" spans="2:7" s="63" customFormat="1" x14ac:dyDescent="0.25">
      <c r="B171" s="299"/>
      <c r="C171" s="340"/>
      <c r="D171" s="340"/>
      <c r="E171" s="340"/>
      <c r="F171" s="340"/>
      <c r="G171" s="340"/>
    </row>
    <row r="172" spans="2:7" s="63" customFormat="1" x14ac:dyDescent="0.25">
      <c r="B172" s="299"/>
      <c r="C172" s="340"/>
      <c r="D172" s="340"/>
      <c r="E172" s="340"/>
      <c r="F172" s="340"/>
      <c r="G172" s="340"/>
    </row>
    <row r="173" spans="2:7" s="63" customFormat="1" x14ac:dyDescent="0.25">
      <c r="B173" s="299"/>
      <c r="C173" s="340"/>
      <c r="D173" s="340"/>
      <c r="E173" s="340"/>
      <c r="F173" s="340"/>
      <c r="G173" s="340"/>
    </row>
    <row r="180" ht="27.75" customHeight="1" x14ac:dyDescent="0.25"/>
    <row r="181" ht="30" customHeight="1" x14ac:dyDescent="0.25"/>
    <row r="182" ht="15" customHeight="1" x14ac:dyDescent="0.25"/>
    <row r="183" ht="15" customHeight="1" x14ac:dyDescent="0.25"/>
    <row r="184" ht="15" customHeight="1" x14ac:dyDescent="0.25"/>
    <row r="193" ht="30" customHeight="1" x14ac:dyDescent="0.25"/>
    <row r="194" ht="27.75" customHeight="1" x14ac:dyDescent="0.25"/>
    <row r="195" ht="27" customHeight="1" x14ac:dyDescent="0.25"/>
    <row r="202" ht="12.75" customHeight="1" x14ac:dyDescent="0.25"/>
    <row r="203" ht="12.75" customHeight="1" x14ac:dyDescent="0.25"/>
    <row r="228" ht="12.75" customHeight="1" x14ac:dyDescent="0.25"/>
    <row r="265" spans="8:8" x14ac:dyDescent="0.25">
      <c r="H265" s="3"/>
    </row>
    <row r="266" spans="8:8" x14ac:dyDescent="0.25">
      <c r="H266" s="3"/>
    </row>
    <row r="267" spans="8:8" x14ac:dyDescent="0.25">
      <c r="H267" s="3"/>
    </row>
    <row r="268" spans="8:8" x14ac:dyDescent="0.25">
      <c r="H268" s="3"/>
    </row>
    <row r="269" spans="8:8" x14ac:dyDescent="0.25">
      <c r="H269" s="3"/>
    </row>
    <row r="270" spans="8:8" x14ac:dyDescent="0.25">
      <c r="H270" s="3"/>
    </row>
    <row r="271" spans="8:8" x14ac:dyDescent="0.25">
      <c r="H271" s="3"/>
    </row>
    <row r="272" spans="8:8" x14ac:dyDescent="0.25">
      <c r="H272" s="3"/>
    </row>
    <row r="273" spans="8:8" x14ac:dyDescent="0.25">
      <c r="H273" s="3"/>
    </row>
    <row r="274" spans="8:8" x14ac:dyDescent="0.25">
      <c r="H274" s="3"/>
    </row>
    <row r="275" spans="8:8" x14ac:dyDescent="0.25">
      <c r="H275" s="3"/>
    </row>
    <row r="276" spans="8:8" x14ac:dyDescent="0.25">
      <c r="H276" s="3"/>
    </row>
    <row r="277" spans="8:8" x14ac:dyDescent="0.25">
      <c r="H277" s="3"/>
    </row>
    <row r="278" spans="8:8" x14ac:dyDescent="0.25">
      <c r="H278" s="3"/>
    </row>
    <row r="279" spans="8:8" x14ac:dyDescent="0.25">
      <c r="H279" s="3"/>
    </row>
    <row r="280" spans="8:8" x14ac:dyDescent="0.25">
      <c r="H280" s="3"/>
    </row>
    <row r="281" spans="8:8" x14ac:dyDescent="0.25">
      <c r="H281" s="3"/>
    </row>
    <row r="282" spans="8:8" x14ac:dyDescent="0.25">
      <c r="H282" s="3"/>
    </row>
    <row r="283" spans="8:8" x14ac:dyDescent="0.25">
      <c r="H283" s="3"/>
    </row>
    <row r="284" spans="8:8" x14ac:dyDescent="0.25">
      <c r="H284" s="3"/>
    </row>
    <row r="285" spans="8:8" x14ac:dyDescent="0.25">
      <c r="H285" s="3"/>
    </row>
    <row r="286" spans="8:8" x14ac:dyDescent="0.25">
      <c r="H286" s="3"/>
    </row>
    <row r="287" spans="8:8" x14ac:dyDescent="0.25">
      <c r="H287" s="3"/>
    </row>
    <row r="288" spans="8:8" x14ac:dyDescent="0.25">
      <c r="H288" s="3"/>
    </row>
    <row r="289" spans="8:8" x14ac:dyDescent="0.25">
      <c r="H289" s="3"/>
    </row>
    <row r="290" spans="8:8" x14ac:dyDescent="0.25">
      <c r="H290" s="3"/>
    </row>
    <row r="291" spans="8:8" x14ac:dyDescent="0.25">
      <c r="H291" s="3"/>
    </row>
    <row r="292" spans="8:8" x14ac:dyDescent="0.25">
      <c r="H292" s="3"/>
    </row>
    <row r="293" spans="8:8" x14ac:dyDescent="0.25">
      <c r="H293" s="3"/>
    </row>
    <row r="294" spans="8:8" x14ac:dyDescent="0.25">
      <c r="H294" s="207"/>
    </row>
    <row r="295" spans="8:8" x14ac:dyDescent="0.25">
      <c r="H295" s="207"/>
    </row>
    <row r="296" spans="8:8" x14ac:dyDescent="0.25">
      <c r="H296" s="207"/>
    </row>
    <row r="297" spans="8:8" x14ac:dyDescent="0.25">
      <c r="H297" s="207"/>
    </row>
    <row r="298" spans="8:8" x14ac:dyDescent="0.25">
      <c r="H298" s="207"/>
    </row>
    <row r="299" spans="8:8" x14ac:dyDescent="0.25">
      <c r="H299" s="207"/>
    </row>
    <row r="300" spans="8:8" x14ac:dyDescent="0.25">
      <c r="H300" s="207"/>
    </row>
    <row r="301" spans="8:8" x14ac:dyDescent="0.25">
      <c r="H301" s="207"/>
    </row>
    <row r="302" spans="8:8" x14ac:dyDescent="0.25">
      <c r="H302" s="207"/>
    </row>
    <row r="303" spans="8:8" x14ac:dyDescent="0.25">
      <c r="H303" s="207"/>
    </row>
    <row r="304" spans="8:8" x14ac:dyDescent="0.25">
      <c r="H304" s="207"/>
    </row>
    <row r="305" spans="8:8" x14ac:dyDescent="0.25">
      <c r="H305" s="207"/>
    </row>
    <row r="306" spans="8:8" x14ac:dyDescent="0.25">
      <c r="H306" s="207"/>
    </row>
    <row r="307" spans="8:8" x14ac:dyDescent="0.25">
      <c r="H307" s="207"/>
    </row>
    <row r="308" spans="8:8" x14ac:dyDescent="0.25">
      <c r="H308" s="207"/>
    </row>
    <row r="309" spans="8:8" x14ac:dyDescent="0.25">
      <c r="H309" s="207"/>
    </row>
    <row r="310" spans="8:8" x14ac:dyDescent="0.25">
      <c r="H310" s="207"/>
    </row>
    <row r="311" spans="8:8" x14ac:dyDescent="0.25">
      <c r="H311" s="207"/>
    </row>
  </sheetData>
  <mergeCells count="50">
    <mergeCell ref="B11:G11"/>
    <mergeCell ref="B43:G43"/>
    <mergeCell ref="A62:A71"/>
    <mergeCell ref="B68:E68"/>
    <mergeCell ref="B69:E69"/>
    <mergeCell ref="B70:E70"/>
    <mergeCell ref="B71:E71"/>
    <mergeCell ref="B58:D58"/>
    <mergeCell ref="B59:D59"/>
    <mergeCell ref="B60:D60"/>
    <mergeCell ref="B52:D52"/>
    <mergeCell ref="B53:D53"/>
    <mergeCell ref="B54:D54"/>
    <mergeCell ref="B55:D55"/>
    <mergeCell ref="B56:D56"/>
    <mergeCell ref="B57:D57"/>
    <mergeCell ref="B51:D51"/>
    <mergeCell ref="B31:D31"/>
    <mergeCell ref="B33:D33"/>
    <mergeCell ref="B34:D34"/>
    <mergeCell ref="B35:D35"/>
    <mergeCell ref="B36:D36"/>
    <mergeCell ref="B37:D37"/>
    <mergeCell ref="B38:D38"/>
    <mergeCell ref="B39:D39"/>
    <mergeCell ref="B47:D47"/>
    <mergeCell ref="B49:D49"/>
    <mergeCell ref="B50:D50"/>
    <mergeCell ref="B40:D40"/>
    <mergeCell ref="B30:D30"/>
    <mergeCell ref="A13:A61"/>
    <mergeCell ref="B15:D15"/>
    <mergeCell ref="B17:D17"/>
    <mergeCell ref="B18:D18"/>
    <mergeCell ref="B19:D19"/>
    <mergeCell ref="B20:D20"/>
    <mergeCell ref="B21:D21"/>
    <mergeCell ref="B22:D22"/>
    <mergeCell ref="B23:D23"/>
    <mergeCell ref="B24:D24"/>
    <mergeCell ref="B25:D25"/>
    <mergeCell ref="B26:D26"/>
    <mergeCell ref="B27:D27"/>
    <mergeCell ref="B28:D28"/>
    <mergeCell ref="B29:D29"/>
    <mergeCell ref="B8:G8"/>
    <mergeCell ref="B3:G3"/>
    <mergeCell ref="B5:G5"/>
    <mergeCell ref="B6:G6"/>
    <mergeCell ref="B7:G7"/>
  </mergeCells>
  <pageMargins left="0.74803149606299213" right="0.74803149606299213" top="0.98425196850393704" bottom="0.98425196850393704" header="0.51181102362204722" footer="0.51181102362204722"/>
  <pageSetup paperSize="9" firstPageNumber="30" fitToHeight="0" orientation="portrait" useFirstPageNumber="1" r:id="rId1"/>
  <headerFooter alignWithMargins="0">
    <oddFooter>&amp;L&amp;8Chartered Accountants Australia New Zealand&amp;C&amp;9&amp;P&amp;R&amp;8VICTORIAN CITY COUNCIL</oddFooter>
  </headerFooter>
  <rowBreaks count="2" manualBreakCount="2">
    <brk id="9" min="1" max="6" man="1"/>
    <brk id="41" min="1"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7"/>
  <sheetViews>
    <sheetView showGridLines="0" view="pageBreakPreview" topLeftCell="A190" zoomScaleNormal="100" zoomScaleSheetLayoutView="100" zoomScalePageLayoutView="55" workbookViewId="0">
      <selection activeCell="A40" sqref="A40"/>
    </sheetView>
  </sheetViews>
  <sheetFormatPr defaultColWidth="9.109375" defaultRowHeight="13.2" x14ac:dyDescent="0.25"/>
  <cols>
    <col min="1" max="1" width="15" style="206" customWidth="1"/>
    <col min="2" max="2" width="41.33203125" style="68" customWidth="1"/>
    <col min="3" max="3" width="10.5546875" style="68" customWidth="1"/>
    <col min="4" max="4" width="10.109375" style="105" customWidth="1"/>
    <col min="5" max="5" width="10.5546875" style="105" customWidth="1"/>
    <col min="6" max="6" width="10.109375" style="105" customWidth="1"/>
    <col min="7" max="7" width="10.5546875" style="105" customWidth="1"/>
    <col min="8" max="8" width="10" style="47" customWidth="1"/>
    <col min="9" max="9" width="13.109375" style="47" customWidth="1"/>
    <col min="10" max="10" width="9.6640625" style="47" customWidth="1"/>
    <col min="11" max="11" width="12.6640625" style="47" customWidth="1"/>
    <col min="12" max="16384" width="9.109375" style="47"/>
  </cols>
  <sheetData>
    <row r="1" spans="1:11" ht="16.8" x14ac:dyDescent="0.25">
      <c r="B1" s="331" t="s">
        <v>860</v>
      </c>
      <c r="C1" s="69"/>
      <c r="D1" s="104"/>
      <c r="E1" s="104"/>
      <c r="F1" s="104"/>
      <c r="G1" s="104"/>
    </row>
    <row r="2" spans="1:11" s="759" customFormat="1" x14ac:dyDescent="0.25">
      <c r="B2" s="83"/>
      <c r="C2" s="83"/>
      <c r="D2" s="496"/>
      <c r="E2" s="496"/>
      <c r="F2" s="496"/>
      <c r="G2" s="496"/>
    </row>
    <row r="3" spans="1:11" s="759" customFormat="1" x14ac:dyDescent="0.25">
      <c r="A3" s="1070" t="s">
        <v>825</v>
      </c>
      <c r="B3" s="944" t="s">
        <v>1110</v>
      </c>
      <c r="C3" s="944"/>
      <c r="D3" s="944"/>
      <c r="E3" s="944"/>
      <c r="F3" s="944"/>
      <c r="G3" s="944"/>
    </row>
    <row r="4" spans="1:11" s="759" customFormat="1" x14ac:dyDescent="0.25">
      <c r="A4" s="1070"/>
      <c r="B4" s="83"/>
      <c r="C4" s="83"/>
      <c r="D4" s="496"/>
      <c r="E4" s="496"/>
      <c r="F4" s="496"/>
      <c r="G4" s="496"/>
    </row>
    <row r="5" spans="1:11" s="759" customFormat="1" x14ac:dyDescent="0.25">
      <c r="A5" s="1070"/>
      <c r="B5" s="944" t="s">
        <v>239</v>
      </c>
      <c r="C5" s="944"/>
      <c r="D5" s="944"/>
      <c r="E5" s="944"/>
      <c r="F5" s="944"/>
      <c r="G5" s="944"/>
    </row>
    <row r="6" spans="1:11" s="759" customFormat="1" x14ac:dyDescent="0.25">
      <c r="A6" s="1070"/>
      <c r="B6" s="942" t="s">
        <v>1111</v>
      </c>
      <c r="C6" s="1065"/>
      <c r="D6" s="1065"/>
      <c r="E6" s="1065"/>
      <c r="F6" s="1065"/>
      <c r="G6" s="1065"/>
    </row>
    <row r="7" spans="1:11" s="759" customFormat="1" x14ac:dyDescent="0.25">
      <c r="A7" s="1070"/>
      <c r="B7" s="942" t="s">
        <v>1112</v>
      </c>
      <c r="C7" s="1065"/>
      <c r="D7" s="1065"/>
      <c r="E7" s="1065"/>
      <c r="F7" s="1065"/>
      <c r="G7" s="1065"/>
    </row>
    <row r="8" spans="1:11" s="759" customFormat="1" x14ac:dyDescent="0.25">
      <c r="A8" s="1070"/>
      <c r="B8" s="752"/>
    </row>
    <row r="9" spans="1:11" ht="15.6" x14ac:dyDescent="0.25">
      <c r="A9" s="1070"/>
      <c r="B9" s="109" t="s">
        <v>12</v>
      </c>
      <c r="C9" s="47"/>
      <c r="D9" s="47"/>
      <c r="E9" s="47"/>
      <c r="F9" s="47"/>
      <c r="G9" s="47"/>
    </row>
    <row r="10" spans="1:11" ht="13.8" x14ac:dyDescent="0.25">
      <c r="A10" s="1070"/>
      <c r="B10" s="110" t="s">
        <v>1064</v>
      </c>
      <c r="C10" s="47"/>
      <c r="D10" s="47"/>
      <c r="E10" s="47"/>
      <c r="F10" s="47"/>
      <c r="G10" s="47"/>
    </row>
    <row r="11" spans="1:11" ht="13.8" x14ac:dyDescent="0.25">
      <c r="A11" s="1070"/>
      <c r="B11" s="110"/>
      <c r="C11" s="47"/>
      <c r="D11" s="47"/>
      <c r="E11" s="47"/>
      <c r="F11" s="47"/>
      <c r="G11" s="47"/>
    </row>
    <row r="12" spans="1:11" ht="13.8" x14ac:dyDescent="0.25">
      <c r="A12" s="1070"/>
      <c r="B12" s="269" t="s">
        <v>1025</v>
      </c>
      <c r="C12" s="47"/>
      <c r="D12" s="47"/>
      <c r="E12" s="47"/>
      <c r="F12" s="47"/>
      <c r="G12" s="47"/>
    </row>
    <row r="13" spans="1:11" x14ac:dyDescent="0.25">
      <c r="A13" s="1070"/>
      <c r="B13" s="544"/>
      <c r="C13" s="545"/>
      <c r="D13" s="1067" t="s">
        <v>682</v>
      </c>
      <c r="E13" s="1068"/>
      <c r="F13" s="1068"/>
      <c r="G13" s="1069"/>
      <c r="H13" s="1066" t="s">
        <v>600</v>
      </c>
      <c r="I13" s="1066"/>
      <c r="J13" s="1066"/>
      <c r="K13" s="1066"/>
    </row>
    <row r="14" spans="1:11" x14ac:dyDescent="0.25">
      <c r="A14" s="1070"/>
      <c r="B14" s="544"/>
      <c r="C14" s="545"/>
      <c r="D14" s="546"/>
      <c r="E14" s="547"/>
      <c r="F14" s="547"/>
      <c r="G14" s="545"/>
      <c r="H14" s="548"/>
      <c r="I14" s="549"/>
      <c r="J14" s="549"/>
      <c r="K14" s="549"/>
    </row>
    <row r="15" spans="1:11" ht="26.4" x14ac:dyDescent="0.25">
      <c r="A15" s="1070"/>
      <c r="B15" s="544" t="s">
        <v>240</v>
      </c>
      <c r="C15" s="545" t="s">
        <v>683</v>
      </c>
      <c r="D15" s="546" t="s">
        <v>678</v>
      </c>
      <c r="E15" s="547" t="s">
        <v>679</v>
      </c>
      <c r="F15" s="547" t="s">
        <v>680</v>
      </c>
      <c r="G15" s="545" t="s">
        <v>681</v>
      </c>
      <c r="H15" s="548" t="s">
        <v>462</v>
      </c>
      <c r="I15" s="548" t="s">
        <v>463</v>
      </c>
      <c r="J15" s="549" t="s">
        <v>464</v>
      </c>
      <c r="K15" s="549" t="s">
        <v>202</v>
      </c>
    </row>
    <row r="16" spans="1:11" x14ac:dyDescent="0.25">
      <c r="A16" s="1070"/>
      <c r="B16" s="550"/>
      <c r="C16" s="545" t="s">
        <v>298</v>
      </c>
      <c r="D16" s="546" t="s">
        <v>298</v>
      </c>
      <c r="E16" s="547" t="s">
        <v>298</v>
      </c>
      <c r="F16" s="547" t="s">
        <v>298</v>
      </c>
      <c r="G16" s="545" t="s">
        <v>298</v>
      </c>
      <c r="H16" s="548" t="s">
        <v>298</v>
      </c>
      <c r="I16" s="549" t="s">
        <v>298</v>
      </c>
      <c r="J16" s="549" t="s">
        <v>353</v>
      </c>
      <c r="K16" s="549" t="s">
        <v>353</v>
      </c>
    </row>
    <row r="17" spans="1:11" ht="13.8" x14ac:dyDescent="0.25">
      <c r="A17" s="1070"/>
      <c r="B17" s="106" t="s">
        <v>442</v>
      </c>
      <c r="C17" s="187"/>
      <c r="D17" s="189"/>
      <c r="E17" s="111"/>
      <c r="F17" s="111"/>
      <c r="G17" s="187"/>
      <c r="H17" s="44"/>
      <c r="I17" s="87"/>
      <c r="J17" s="87"/>
      <c r="K17" s="87"/>
    </row>
    <row r="18" spans="1:11" x14ac:dyDescent="0.25">
      <c r="A18" s="1070"/>
      <c r="B18" s="43"/>
      <c r="C18" s="187"/>
      <c r="D18" s="189"/>
      <c r="E18" s="111"/>
      <c r="F18" s="111"/>
      <c r="G18" s="187"/>
      <c r="H18" s="44"/>
      <c r="I18" s="87"/>
      <c r="J18" s="87"/>
      <c r="K18" s="87"/>
    </row>
    <row r="19" spans="1:11" x14ac:dyDescent="0.25">
      <c r="A19" s="1070"/>
      <c r="B19" s="43" t="s">
        <v>443</v>
      </c>
      <c r="C19" s="497">
        <v>0</v>
      </c>
      <c r="D19" s="498">
        <v>0</v>
      </c>
      <c r="E19" s="499">
        <v>0</v>
      </c>
      <c r="F19" s="499">
        <v>0</v>
      </c>
      <c r="G19" s="500">
        <v>0</v>
      </c>
      <c r="H19" s="493">
        <v>0</v>
      </c>
      <c r="I19" s="493">
        <v>0</v>
      </c>
      <c r="J19" s="493">
        <v>0</v>
      </c>
      <c r="K19" s="493">
        <v>0</v>
      </c>
    </row>
    <row r="20" spans="1:11" x14ac:dyDescent="0.25">
      <c r="A20" s="1070"/>
      <c r="B20" s="43"/>
      <c r="C20" s="497"/>
      <c r="D20" s="498"/>
      <c r="E20" s="499"/>
      <c r="F20" s="499"/>
      <c r="G20" s="500"/>
      <c r="H20" s="493"/>
      <c r="I20" s="494"/>
      <c r="J20" s="494"/>
      <c r="K20" s="494"/>
    </row>
    <row r="21" spans="1:11" x14ac:dyDescent="0.25">
      <c r="A21" s="1070"/>
      <c r="B21" s="43" t="s">
        <v>684</v>
      </c>
      <c r="C21" s="497">
        <v>0</v>
      </c>
      <c r="D21" s="498">
        <v>0</v>
      </c>
      <c r="E21" s="499">
        <v>0</v>
      </c>
      <c r="F21" s="499">
        <v>0</v>
      </c>
      <c r="G21" s="500">
        <v>0</v>
      </c>
      <c r="H21" s="493">
        <v>0</v>
      </c>
      <c r="I21" s="493">
        <v>0</v>
      </c>
      <c r="J21" s="493">
        <v>0</v>
      </c>
      <c r="K21" s="493">
        <v>0</v>
      </c>
    </row>
    <row r="22" spans="1:11" x14ac:dyDescent="0.25">
      <c r="A22" s="1070"/>
      <c r="B22" s="43"/>
      <c r="C22" s="497"/>
      <c r="D22" s="498"/>
      <c r="E22" s="499"/>
      <c r="F22" s="499"/>
      <c r="G22" s="500"/>
      <c r="H22" s="493"/>
      <c r="I22" s="493"/>
      <c r="J22" s="493"/>
      <c r="K22" s="493"/>
    </row>
    <row r="23" spans="1:11" x14ac:dyDescent="0.25">
      <c r="A23" s="1070"/>
      <c r="B23" s="43" t="s">
        <v>31</v>
      </c>
      <c r="C23" s="497"/>
      <c r="D23" s="498"/>
      <c r="E23" s="499"/>
      <c r="F23" s="499"/>
      <c r="G23" s="500"/>
      <c r="H23" s="493"/>
      <c r="I23" s="493"/>
      <c r="J23" s="493"/>
      <c r="K23" s="493"/>
    </row>
    <row r="24" spans="1:11" ht="26.4" x14ac:dyDescent="0.25">
      <c r="A24" s="1070"/>
      <c r="B24" s="45" t="s">
        <v>280</v>
      </c>
      <c r="C24" s="501">
        <v>1200</v>
      </c>
      <c r="D24" s="502">
        <v>1200</v>
      </c>
      <c r="E24" s="503">
        <v>0</v>
      </c>
      <c r="F24" s="503">
        <v>0</v>
      </c>
      <c r="G24" s="504">
        <v>0</v>
      </c>
      <c r="H24" s="505">
        <v>68</v>
      </c>
      <c r="I24" s="505">
        <v>0</v>
      </c>
      <c r="J24" s="505">
        <v>1132</v>
      </c>
      <c r="K24" s="505">
        <v>0</v>
      </c>
    </row>
    <row r="25" spans="1:11" x14ac:dyDescent="0.25">
      <c r="A25" s="1070"/>
      <c r="B25" s="45" t="s">
        <v>196</v>
      </c>
      <c r="C25" s="501">
        <v>4000</v>
      </c>
      <c r="D25" s="502">
        <v>4000</v>
      </c>
      <c r="E25" s="503">
        <v>0</v>
      </c>
      <c r="F25" s="503">
        <v>0</v>
      </c>
      <c r="G25" s="504">
        <v>0</v>
      </c>
      <c r="H25" s="505">
        <v>4000</v>
      </c>
      <c r="I25" s="505">
        <v>0</v>
      </c>
      <c r="J25" s="505">
        <v>0</v>
      </c>
      <c r="K25" s="505">
        <v>0</v>
      </c>
    </row>
    <row r="26" spans="1:11" x14ac:dyDescent="0.25">
      <c r="A26" s="1070"/>
      <c r="B26" s="101" t="s">
        <v>286</v>
      </c>
      <c r="C26" s="501">
        <v>90</v>
      </c>
      <c r="D26" s="502">
        <v>90</v>
      </c>
      <c r="E26" s="503">
        <v>0</v>
      </c>
      <c r="F26" s="503">
        <v>0</v>
      </c>
      <c r="G26" s="504">
        <v>0</v>
      </c>
      <c r="H26" s="503">
        <v>10</v>
      </c>
      <c r="I26" s="503">
        <v>0</v>
      </c>
      <c r="J26" s="503">
        <v>80</v>
      </c>
      <c r="K26" s="503">
        <v>0</v>
      </c>
    </row>
    <row r="27" spans="1:11" x14ac:dyDescent="0.25">
      <c r="A27" s="1070"/>
      <c r="B27" s="45" t="s">
        <v>276</v>
      </c>
      <c r="C27" s="501">
        <v>1127</v>
      </c>
      <c r="D27" s="502">
        <v>0</v>
      </c>
      <c r="E27" s="503">
        <v>1127</v>
      </c>
      <c r="F27" s="503">
        <v>0</v>
      </c>
      <c r="G27" s="504">
        <v>0</v>
      </c>
      <c r="H27" s="505">
        <v>0</v>
      </c>
      <c r="I27" s="505">
        <v>0</v>
      </c>
      <c r="J27" s="505">
        <v>1127</v>
      </c>
      <c r="K27" s="505">
        <v>0</v>
      </c>
    </row>
    <row r="28" spans="1:11" x14ac:dyDescent="0.25">
      <c r="A28" s="1070"/>
      <c r="B28" s="45" t="s">
        <v>277</v>
      </c>
      <c r="C28" s="501">
        <v>529</v>
      </c>
      <c r="D28" s="502">
        <v>0</v>
      </c>
      <c r="E28" s="503">
        <v>529</v>
      </c>
      <c r="F28" s="503">
        <v>0</v>
      </c>
      <c r="G28" s="504">
        <v>0</v>
      </c>
      <c r="H28" s="505">
        <v>0</v>
      </c>
      <c r="I28" s="505">
        <v>0</v>
      </c>
      <c r="J28" s="505">
        <v>529</v>
      </c>
      <c r="K28" s="505">
        <v>0</v>
      </c>
    </row>
    <row r="29" spans="1:11" x14ac:dyDescent="0.25">
      <c r="A29" s="1070"/>
      <c r="B29" s="45" t="s">
        <v>278</v>
      </c>
      <c r="C29" s="501">
        <v>166</v>
      </c>
      <c r="D29" s="502">
        <v>0</v>
      </c>
      <c r="E29" s="503">
        <v>166</v>
      </c>
      <c r="F29" s="503">
        <v>0</v>
      </c>
      <c r="G29" s="504">
        <v>0</v>
      </c>
      <c r="H29" s="505">
        <v>30</v>
      </c>
      <c r="I29" s="505">
        <v>0</v>
      </c>
      <c r="J29" s="505">
        <v>136</v>
      </c>
      <c r="K29" s="505">
        <v>0</v>
      </c>
    </row>
    <row r="30" spans="1:11" x14ac:dyDescent="0.25">
      <c r="A30" s="1070"/>
      <c r="B30" s="45" t="s">
        <v>279</v>
      </c>
      <c r="C30" s="501">
        <v>320</v>
      </c>
      <c r="D30" s="502">
        <v>0</v>
      </c>
      <c r="E30" s="503">
        <v>320</v>
      </c>
      <c r="F30" s="503">
        <v>0</v>
      </c>
      <c r="G30" s="504">
        <v>0</v>
      </c>
      <c r="H30" s="505">
        <v>0</v>
      </c>
      <c r="I30" s="505">
        <v>0</v>
      </c>
      <c r="J30" s="505">
        <v>320</v>
      </c>
      <c r="K30" s="505">
        <v>0</v>
      </c>
    </row>
    <row r="31" spans="1:11" x14ac:dyDescent="0.25">
      <c r="A31" s="1070"/>
      <c r="B31" s="154" t="s">
        <v>602</v>
      </c>
      <c r="C31" s="506">
        <v>882</v>
      </c>
      <c r="D31" s="507">
        <v>0</v>
      </c>
      <c r="E31" s="508">
        <v>882</v>
      </c>
      <c r="F31" s="508">
        <v>0</v>
      </c>
      <c r="G31" s="509">
        <v>0</v>
      </c>
      <c r="H31" s="508">
        <v>0</v>
      </c>
      <c r="I31" s="508">
        <v>0</v>
      </c>
      <c r="J31" s="508">
        <v>882</v>
      </c>
      <c r="K31" s="508">
        <v>0</v>
      </c>
    </row>
    <row r="32" spans="1:11" x14ac:dyDescent="0.25">
      <c r="A32" s="1070"/>
      <c r="B32" s="116" t="s">
        <v>685</v>
      </c>
      <c r="C32" s="506">
        <f>SUM(C24:C31)</f>
        <v>8314</v>
      </c>
      <c r="D32" s="507">
        <f t="shared" ref="D32:K32" si="0">SUM(D24:D31)</f>
        <v>5290</v>
      </c>
      <c r="E32" s="508">
        <f t="shared" si="0"/>
        <v>3024</v>
      </c>
      <c r="F32" s="508">
        <f t="shared" si="0"/>
        <v>0</v>
      </c>
      <c r="G32" s="509">
        <f t="shared" si="0"/>
        <v>0</v>
      </c>
      <c r="H32" s="508">
        <f t="shared" si="0"/>
        <v>4108</v>
      </c>
      <c r="I32" s="508">
        <f t="shared" si="0"/>
        <v>0</v>
      </c>
      <c r="J32" s="508">
        <f t="shared" si="0"/>
        <v>4206</v>
      </c>
      <c r="K32" s="508">
        <f t="shared" si="0"/>
        <v>0</v>
      </c>
    </row>
    <row r="33" spans="1:11" x14ac:dyDescent="0.25">
      <c r="A33" s="1070"/>
      <c r="B33" s="45"/>
      <c r="C33" s="501"/>
      <c r="D33" s="502"/>
      <c r="E33" s="503"/>
      <c r="F33" s="503"/>
      <c r="G33" s="504"/>
      <c r="H33" s="505"/>
      <c r="I33" s="505"/>
      <c r="J33" s="505"/>
      <c r="K33" s="505"/>
    </row>
    <row r="34" spans="1:11" s="197" customFormat="1" x14ac:dyDescent="0.25">
      <c r="A34" s="1070"/>
      <c r="B34" s="43" t="s">
        <v>572</v>
      </c>
      <c r="C34" s="501">
        <v>0</v>
      </c>
      <c r="D34" s="502">
        <v>0</v>
      </c>
      <c r="E34" s="503">
        <v>0</v>
      </c>
      <c r="F34" s="503">
        <v>0</v>
      </c>
      <c r="G34" s="504">
        <v>0</v>
      </c>
      <c r="H34" s="505">
        <v>0</v>
      </c>
      <c r="I34" s="505">
        <v>0</v>
      </c>
      <c r="J34" s="505">
        <v>0</v>
      </c>
      <c r="K34" s="505">
        <v>0</v>
      </c>
    </row>
    <row r="35" spans="1:11" s="197" customFormat="1" x14ac:dyDescent="0.25">
      <c r="A35" s="1070"/>
      <c r="B35" s="45"/>
      <c r="C35" s="501"/>
      <c r="D35" s="502"/>
      <c r="E35" s="503"/>
      <c r="F35" s="503"/>
      <c r="G35" s="504"/>
      <c r="H35" s="505"/>
      <c r="I35" s="505"/>
      <c r="J35" s="505"/>
      <c r="K35" s="505"/>
    </row>
    <row r="36" spans="1:11" x14ac:dyDescent="0.25">
      <c r="A36" s="1070"/>
      <c r="B36" s="43" t="s">
        <v>445</v>
      </c>
      <c r="C36" s="501"/>
      <c r="D36" s="502"/>
      <c r="E36" s="503"/>
      <c r="F36" s="503"/>
      <c r="G36" s="504"/>
      <c r="H36" s="505"/>
      <c r="I36" s="505"/>
      <c r="J36" s="505"/>
      <c r="K36" s="505"/>
    </row>
    <row r="37" spans="1:11" x14ac:dyDescent="0.25">
      <c r="A37" s="1070"/>
      <c r="B37" s="154" t="s">
        <v>281</v>
      </c>
      <c r="C37" s="506">
        <v>117</v>
      </c>
      <c r="D37" s="507">
        <v>117</v>
      </c>
      <c r="E37" s="508">
        <v>0</v>
      </c>
      <c r="F37" s="508">
        <v>0</v>
      </c>
      <c r="G37" s="509">
        <v>0</v>
      </c>
      <c r="H37" s="508">
        <v>0</v>
      </c>
      <c r="I37" s="508">
        <v>0</v>
      </c>
      <c r="J37" s="508">
        <v>117</v>
      </c>
      <c r="K37" s="508">
        <v>0</v>
      </c>
    </row>
    <row r="38" spans="1:11" x14ac:dyDescent="0.25">
      <c r="A38" s="1070"/>
      <c r="B38" s="116" t="s">
        <v>686</v>
      </c>
      <c r="C38" s="506">
        <f>SUM(C37)</f>
        <v>117</v>
      </c>
      <c r="D38" s="507">
        <f t="shared" ref="D38:K38" si="1">SUM(D37)</f>
        <v>117</v>
      </c>
      <c r="E38" s="508">
        <f t="shared" si="1"/>
        <v>0</v>
      </c>
      <c r="F38" s="508">
        <f t="shared" si="1"/>
        <v>0</v>
      </c>
      <c r="G38" s="509">
        <f t="shared" si="1"/>
        <v>0</v>
      </c>
      <c r="H38" s="508">
        <f t="shared" si="1"/>
        <v>0</v>
      </c>
      <c r="I38" s="508">
        <f t="shared" si="1"/>
        <v>0</v>
      </c>
      <c r="J38" s="508">
        <f t="shared" si="1"/>
        <v>117</v>
      </c>
      <c r="K38" s="508">
        <f t="shared" si="1"/>
        <v>0</v>
      </c>
    </row>
    <row r="39" spans="1:11" x14ac:dyDescent="0.25">
      <c r="A39" s="1070"/>
      <c r="B39" s="45"/>
      <c r="C39" s="501"/>
      <c r="D39" s="502"/>
      <c r="E39" s="503"/>
      <c r="F39" s="503"/>
      <c r="G39" s="504"/>
      <c r="H39" s="505"/>
      <c r="I39" s="505"/>
      <c r="J39" s="505"/>
      <c r="K39" s="505"/>
    </row>
    <row r="40" spans="1:11" x14ac:dyDescent="0.25">
      <c r="A40" s="1070"/>
      <c r="B40" s="43" t="s">
        <v>571</v>
      </c>
      <c r="C40" s="497">
        <v>0</v>
      </c>
      <c r="D40" s="498">
        <v>0</v>
      </c>
      <c r="E40" s="499">
        <v>0</v>
      </c>
      <c r="F40" s="499">
        <v>0</v>
      </c>
      <c r="G40" s="500">
        <v>0</v>
      </c>
      <c r="H40" s="493">
        <v>0</v>
      </c>
      <c r="I40" s="493">
        <v>0</v>
      </c>
      <c r="J40" s="493">
        <v>0</v>
      </c>
      <c r="K40" s="493">
        <v>0</v>
      </c>
    </row>
    <row r="41" spans="1:11" s="173" customFormat="1" x14ac:dyDescent="0.25">
      <c r="A41" s="1070"/>
      <c r="B41" s="43"/>
      <c r="C41" s="497"/>
      <c r="D41" s="498"/>
      <c r="E41" s="499"/>
      <c r="F41" s="499"/>
      <c r="G41" s="500"/>
      <c r="H41" s="493"/>
      <c r="I41" s="493"/>
      <c r="J41" s="493"/>
      <c r="K41" s="493"/>
    </row>
    <row r="42" spans="1:11" ht="13.8" x14ac:dyDescent="0.25">
      <c r="A42" s="1070"/>
      <c r="B42" s="155" t="s">
        <v>603</v>
      </c>
      <c r="C42" s="510">
        <f t="shared" ref="C42:K42" si="2">SUM(C19,C21,C32,C38,C40,C34)</f>
        <v>8431</v>
      </c>
      <c r="D42" s="511">
        <f t="shared" si="2"/>
        <v>5407</v>
      </c>
      <c r="E42" s="512">
        <f t="shared" si="2"/>
        <v>3024</v>
      </c>
      <c r="F42" s="512">
        <f t="shared" si="2"/>
        <v>0</v>
      </c>
      <c r="G42" s="513">
        <f t="shared" si="2"/>
        <v>0</v>
      </c>
      <c r="H42" s="512">
        <f t="shared" si="2"/>
        <v>4108</v>
      </c>
      <c r="I42" s="512">
        <f t="shared" si="2"/>
        <v>0</v>
      </c>
      <c r="J42" s="512">
        <f t="shared" si="2"/>
        <v>4323</v>
      </c>
      <c r="K42" s="512">
        <f t="shared" si="2"/>
        <v>0</v>
      </c>
    </row>
    <row r="43" spans="1:11" x14ac:dyDescent="0.25">
      <c r="A43" s="1070"/>
      <c r="B43" s="544"/>
      <c r="C43" s="545"/>
      <c r="D43" s="1067" t="s">
        <v>682</v>
      </c>
      <c r="E43" s="1068"/>
      <c r="F43" s="1068"/>
      <c r="G43" s="1069"/>
      <c r="H43" s="1066" t="s">
        <v>600</v>
      </c>
      <c r="I43" s="1066"/>
      <c r="J43" s="1066"/>
      <c r="K43" s="1066"/>
    </row>
    <row r="44" spans="1:11" x14ac:dyDescent="0.25">
      <c r="A44" s="1070"/>
      <c r="B44" s="544"/>
      <c r="C44" s="545"/>
      <c r="D44" s="546"/>
      <c r="E44" s="547"/>
      <c r="F44" s="547"/>
      <c r="G44" s="545"/>
      <c r="H44" s="548"/>
      <c r="I44" s="549"/>
      <c r="J44" s="549"/>
      <c r="K44" s="549"/>
    </row>
    <row r="45" spans="1:11" ht="26.4" x14ac:dyDescent="0.25">
      <c r="A45" s="1070"/>
      <c r="B45" s="544" t="s">
        <v>240</v>
      </c>
      <c r="C45" s="545" t="s">
        <v>683</v>
      </c>
      <c r="D45" s="546" t="s">
        <v>678</v>
      </c>
      <c r="E45" s="547" t="s">
        <v>679</v>
      </c>
      <c r="F45" s="547" t="s">
        <v>680</v>
      </c>
      <c r="G45" s="545" t="s">
        <v>681</v>
      </c>
      <c r="H45" s="548" t="s">
        <v>462</v>
      </c>
      <c r="I45" s="548" t="s">
        <v>463</v>
      </c>
      <c r="J45" s="549" t="s">
        <v>464</v>
      </c>
      <c r="K45" s="549" t="s">
        <v>202</v>
      </c>
    </row>
    <row r="46" spans="1:11" x14ac:dyDescent="0.25">
      <c r="A46" s="1070"/>
      <c r="B46" s="550"/>
      <c r="C46" s="545" t="s">
        <v>298</v>
      </c>
      <c r="D46" s="546" t="s">
        <v>298</v>
      </c>
      <c r="E46" s="547" t="s">
        <v>298</v>
      </c>
      <c r="F46" s="547" t="s">
        <v>298</v>
      </c>
      <c r="G46" s="545" t="s">
        <v>298</v>
      </c>
      <c r="H46" s="548" t="s">
        <v>298</v>
      </c>
      <c r="I46" s="549" t="s">
        <v>298</v>
      </c>
      <c r="J46" s="549" t="s">
        <v>353</v>
      </c>
      <c r="K46" s="549" t="s">
        <v>353</v>
      </c>
    </row>
    <row r="47" spans="1:11" s="178" customFormat="1" x14ac:dyDescent="0.25">
      <c r="A47" s="1070"/>
      <c r="B47" s="45"/>
      <c r="C47" s="188"/>
      <c r="D47" s="190"/>
      <c r="E47" s="153"/>
      <c r="F47" s="153"/>
      <c r="G47" s="191"/>
      <c r="H47" s="175"/>
      <c r="I47" s="175"/>
      <c r="J47" s="175"/>
      <c r="K47" s="175"/>
    </row>
    <row r="48" spans="1:11" ht="13.8" x14ac:dyDescent="0.25">
      <c r="A48" s="1070"/>
      <c r="B48" s="106" t="s">
        <v>446</v>
      </c>
      <c r="C48" s="501"/>
      <c r="D48" s="502"/>
      <c r="E48" s="503"/>
      <c r="F48" s="503"/>
      <c r="G48" s="504"/>
      <c r="H48" s="505"/>
      <c r="I48" s="505"/>
      <c r="J48" s="505"/>
      <c r="K48" s="505"/>
    </row>
    <row r="49" spans="1:11" x14ac:dyDescent="0.25">
      <c r="A49" s="1070"/>
      <c r="B49" s="45"/>
      <c r="C49" s="501"/>
      <c r="D49" s="502"/>
      <c r="E49" s="503"/>
      <c r="F49" s="503"/>
      <c r="G49" s="504"/>
      <c r="H49" s="505"/>
      <c r="I49" s="505"/>
      <c r="J49" s="505"/>
      <c r="K49" s="505"/>
    </row>
    <row r="50" spans="1:11" s="200" customFormat="1" x14ac:dyDescent="0.25">
      <c r="A50" s="1070"/>
      <c r="B50" s="43" t="s">
        <v>692</v>
      </c>
      <c r="C50" s="497">
        <v>0</v>
      </c>
      <c r="D50" s="498">
        <v>0</v>
      </c>
      <c r="E50" s="499">
        <v>0</v>
      </c>
      <c r="F50" s="499">
        <v>0</v>
      </c>
      <c r="G50" s="500">
        <v>0</v>
      </c>
      <c r="H50" s="493">
        <v>0</v>
      </c>
      <c r="I50" s="493">
        <v>0</v>
      </c>
      <c r="J50" s="493">
        <v>0</v>
      </c>
      <c r="K50" s="493">
        <v>0</v>
      </c>
    </row>
    <row r="51" spans="1:11" s="200" customFormat="1" x14ac:dyDescent="0.25">
      <c r="A51" s="1070"/>
      <c r="B51" s="45"/>
      <c r="C51" s="501"/>
      <c r="D51" s="502"/>
      <c r="E51" s="503"/>
      <c r="F51" s="503"/>
      <c r="G51" s="504"/>
      <c r="H51" s="505"/>
      <c r="I51" s="505"/>
      <c r="J51" s="505"/>
      <c r="K51" s="505"/>
    </row>
    <row r="52" spans="1:11" x14ac:dyDescent="0.25">
      <c r="A52" s="1070"/>
      <c r="B52" s="43" t="s">
        <v>687</v>
      </c>
      <c r="C52" s="501"/>
      <c r="D52" s="502"/>
      <c r="E52" s="503"/>
      <c r="F52" s="503"/>
      <c r="G52" s="504"/>
      <c r="H52" s="505"/>
      <c r="I52" s="505"/>
      <c r="J52" s="505"/>
      <c r="K52" s="505"/>
    </row>
    <row r="53" spans="1:11" x14ac:dyDescent="0.25">
      <c r="A53" s="1070"/>
      <c r="B53" s="154" t="s">
        <v>197</v>
      </c>
      <c r="C53" s="506">
        <v>3021</v>
      </c>
      <c r="D53" s="507">
        <v>0</v>
      </c>
      <c r="E53" s="508">
        <v>3021</v>
      </c>
      <c r="F53" s="508">
        <v>0</v>
      </c>
      <c r="G53" s="509">
        <v>0</v>
      </c>
      <c r="H53" s="508">
        <v>435</v>
      </c>
      <c r="I53" s="508">
        <v>0</v>
      </c>
      <c r="J53" s="508">
        <v>2586</v>
      </c>
      <c r="K53" s="508">
        <v>0</v>
      </c>
    </row>
    <row r="54" spans="1:11" x14ac:dyDescent="0.25">
      <c r="A54" s="1070"/>
      <c r="B54" s="156" t="s">
        <v>688</v>
      </c>
      <c r="C54" s="506">
        <f>SUM(C53)</f>
        <v>3021</v>
      </c>
      <c r="D54" s="507">
        <f t="shared" ref="D54:K54" si="3">SUM(D53)</f>
        <v>0</v>
      </c>
      <c r="E54" s="508">
        <f t="shared" si="3"/>
        <v>3021</v>
      </c>
      <c r="F54" s="508">
        <f t="shared" si="3"/>
        <v>0</v>
      </c>
      <c r="G54" s="509">
        <f t="shared" si="3"/>
        <v>0</v>
      </c>
      <c r="H54" s="508">
        <f t="shared" si="3"/>
        <v>435</v>
      </c>
      <c r="I54" s="508">
        <f t="shared" si="3"/>
        <v>0</v>
      </c>
      <c r="J54" s="508">
        <f t="shared" si="3"/>
        <v>2586</v>
      </c>
      <c r="K54" s="508">
        <f t="shared" si="3"/>
        <v>0</v>
      </c>
    </row>
    <row r="55" spans="1:11" x14ac:dyDescent="0.25">
      <c r="A55" s="1070"/>
      <c r="B55" s="101"/>
      <c r="C55" s="501"/>
      <c r="D55" s="502"/>
      <c r="E55" s="503"/>
      <c r="F55" s="503"/>
      <c r="G55" s="504"/>
      <c r="H55" s="503"/>
      <c r="I55" s="503"/>
      <c r="J55" s="503"/>
      <c r="K55" s="503"/>
    </row>
    <row r="56" spans="1:11" x14ac:dyDescent="0.25">
      <c r="A56" s="1070"/>
      <c r="B56" s="43" t="s">
        <v>689</v>
      </c>
      <c r="C56" s="497">
        <v>0</v>
      </c>
      <c r="D56" s="498">
        <v>0</v>
      </c>
      <c r="E56" s="499">
        <v>0</v>
      </c>
      <c r="F56" s="499">
        <v>0</v>
      </c>
      <c r="G56" s="500">
        <v>0</v>
      </c>
      <c r="H56" s="493">
        <v>0</v>
      </c>
      <c r="I56" s="493">
        <v>0</v>
      </c>
      <c r="J56" s="493">
        <v>0</v>
      </c>
      <c r="K56" s="493">
        <v>0</v>
      </c>
    </row>
    <row r="57" spans="1:11" x14ac:dyDescent="0.25">
      <c r="A57" s="1070"/>
      <c r="C57" s="514"/>
      <c r="D57" s="515"/>
      <c r="E57" s="516"/>
      <c r="F57" s="516"/>
      <c r="G57" s="517"/>
      <c r="H57" s="399"/>
      <c r="I57" s="399"/>
      <c r="J57" s="399"/>
      <c r="K57" s="399"/>
    </row>
    <row r="58" spans="1:11" x14ac:dyDescent="0.25">
      <c r="A58" s="1070"/>
      <c r="B58" s="43" t="s">
        <v>690</v>
      </c>
      <c r="C58" s="501"/>
      <c r="D58" s="502"/>
      <c r="E58" s="503"/>
      <c r="F58" s="503"/>
      <c r="G58" s="504"/>
      <c r="H58" s="505"/>
      <c r="I58" s="505"/>
      <c r="J58" s="505"/>
      <c r="K58" s="505"/>
    </row>
    <row r="59" spans="1:11" x14ac:dyDescent="0.25">
      <c r="A59" s="1070"/>
      <c r="B59" s="45" t="s">
        <v>283</v>
      </c>
      <c r="C59" s="501">
        <v>414</v>
      </c>
      <c r="D59" s="502">
        <v>414</v>
      </c>
      <c r="E59" s="503">
        <v>0</v>
      </c>
      <c r="F59" s="503">
        <v>0</v>
      </c>
      <c r="G59" s="504">
        <v>0</v>
      </c>
      <c r="H59" s="505">
        <v>0</v>
      </c>
      <c r="I59" s="505">
        <v>0</v>
      </c>
      <c r="J59" s="505">
        <v>414</v>
      </c>
      <c r="K59" s="505">
        <v>0</v>
      </c>
    </row>
    <row r="60" spans="1:11" x14ac:dyDescent="0.25">
      <c r="A60" s="1070"/>
      <c r="B60" s="101" t="s">
        <v>198</v>
      </c>
      <c r="C60" s="501">
        <v>550</v>
      </c>
      <c r="D60" s="502">
        <v>550</v>
      </c>
      <c r="E60" s="503">
        <v>0</v>
      </c>
      <c r="F60" s="503">
        <v>0</v>
      </c>
      <c r="G60" s="504">
        <v>0</v>
      </c>
      <c r="H60" s="503">
        <v>0</v>
      </c>
      <c r="I60" s="503">
        <v>0</v>
      </c>
      <c r="J60" s="503">
        <v>550</v>
      </c>
      <c r="K60" s="503">
        <v>0</v>
      </c>
    </row>
    <row r="61" spans="1:11" x14ac:dyDescent="0.25">
      <c r="A61" s="1070"/>
      <c r="B61" s="101" t="s">
        <v>284</v>
      </c>
      <c r="C61" s="501">
        <v>150</v>
      </c>
      <c r="D61" s="502">
        <v>150</v>
      </c>
      <c r="E61" s="503">
        <v>0</v>
      </c>
      <c r="F61" s="503">
        <v>0</v>
      </c>
      <c r="G61" s="504">
        <v>0</v>
      </c>
      <c r="H61" s="503">
        <v>0</v>
      </c>
      <c r="I61" s="503">
        <v>0</v>
      </c>
      <c r="J61" s="503">
        <v>150</v>
      </c>
      <c r="K61" s="503">
        <v>0</v>
      </c>
    </row>
    <row r="62" spans="1:11" x14ac:dyDescent="0.25">
      <c r="A62" s="1070"/>
      <c r="B62" s="101" t="s">
        <v>282</v>
      </c>
      <c r="C62" s="501">
        <v>201</v>
      </c>
      <c r="D62" s="502">
        <v>0</v>
      </c>
      <c r="E62" s="503">
        <v>201</v>
      </c>
      <c r="F62" s="503">
        <v>0</v>
      </c>
      <c r="G62" s="504">
        <v>0</v>
      </c>
      <c r="H62" s="503">
        <v>0</v>
      </c>
      <c r="I62" s="503">
        <v>0</v>
      </c>
      <c r="J62" s="503">
        <v>201</v>
      </c>
      <c r="K62" s="503">
        <v>0</v>
      </c>
    </row>
    <row r="63" spans="1:11" x14ac:dyDescent="0.25">
      <c r="A63" s="1070"/>
      <c r="B63" s="156" t="s">
        <v>691</v>
      </c>
      <c r="C63" s="518">
        <f>SUM(C59:C62)</f>
        <v>1315</v>
      </c>
      <c r="D63" s="519">
        <f t="shared" ref="D63:K63" si="4">SUM(D59:D62)</f>
        <v>1114</v>
      </c>
      <c r="E63" s="520">
        <f t="shared" si="4"/>
        <v>201</v>
      </c>
      <c r="F63" s="520">
        <f t="shared" si="4"/>
        <v>0</v>
      </c>
      <c r="G63" s="521">
        <f t="shared" si="4"/>
        <v>0</v>
      </c>
      <c r="H63" s="520">
        <f t="shared" si="4"/>
        <v>0</v>
      </c>
      <c r="I63" s="520">
        <f t="shared" si="4"/>
        <v>0</v>
      </c>
      <c r="J63" s="520">
        <f t="shared" si="4"/>
        <v>1315</v>
      </c>
      <c r="K63" s="520">
        <f t="shared" si="4"/>
        <v>0</v>
      </c>
    </row>
    <row r="64" spans="1:11" x14ac:dyDescent="0.25">
      <c r="A64" s="1070"/>
      <c r="B64" s="45"/>
      <c r="C64" s="501"/>
      <c r="D64" s="502"/>
      <c r="E64" s="503"/>
      <c r="F64" s="503"/>
      <c r="G64" s="504"/>
      <c r="H64" s="505"/>
      <c r="I64" s="505"/>
      <c r="J64" s="505"/>
      <c r="K64" s="505"/>
    </row>
    <row r="65" spans="1:15" x14ac:dyDescent="0.25">
      <c r="A65" s="1070"/>
      <c r="B65" s="43" t="s">
        <v>693</v>
      </c>
      <c r="C65" s="501"/>
      <c r="D65" s="502"/>
      <c r="E65" s="503"/>
      <c r="F65" s="503"/>
      <c r="G65" s="504"/>
      <c r="H65" s="505"/>
      <c r="I65" s="505"/>
      <c r="J65" s="505"/>
      <c r="K65" s="505"/>
    </row>
    <row r="66" spans="1:15" x14ac:dyDescent="0.25">
      <c r="A66" s="1070"/>
      <c r="B66" s="154" t="s">
        <v>285</v>
      </c>
      <c r="C66" s="506">
        <v>500</v>
      </c>
      <c r="D66" s="507">
        <v>500</v>
      </c>
      <c r="E66" s="508">
        <v>0</v>
      </c>
      <c r="F66" s="508">
        <v>0</v>
      </c>
      <c r="G66" s="509">
        <v>0</v>
      </c>
      <c r="H66" s="508">
        <v>0</v>
      </c>
      <c r="I66" s="508">
        <v>0</v>
      </c>
      <c r="J66" s="508">
        <v>500</v>
      </c>
      <c r="K66" s="508">
        <v>0</v>
      </c>
    </row>
    <row r="67" spans="1:15" x14ac:dyDescent="0.25">
      <c r="A67" s="1070"/>
      <c r="B67" s="116" t="s">
        <v>694</v>
      </c>
      <c r="C67" s="506">
        <f>SUM(C66)</f>
        <v>500</v>
      </c>
      <c r="D67" s="507">
        <f t="shared" ref="D67:K67" si="5">SUM(D66)</f>
        <v>500</v>
      </c>
      <c r="E67" s="508">
        <f t="shared" si="5"/>
        <v>0</v>
      </c>
      <c r="F67" s="508">
        <f t="shared" si="5"/>
        <v>0</v>
      </c>
      <c r="G67" s="509">
        <f t="shared" si="5"/>
        <v>0</v>
      </c>
      <c r="H67" s="508">
        <f t="shared" si="5"/>
        <v>0</v>
      </c>
      <c r="I67" s="508">
        <f t="shared" si="5"/>
        <v>0</v>
      </c>
      <c r="J67" s="508">
        <f t="shared" si="5"/>
        <v>500</v>
      </c>
      <c r="K67" s="508">
        <f t="shared" si="5"/>
        <v>0</v>
      </c>
    </row>
    <row r="68" spans="1:15" x14ac:dyDescent="0.25">
      <c r="A68" s="1070"/>
      <c r="B68" s="45"/>
      <c r="C68" s="501"/>
      <c r="D68" s="502"/>
      <c r="E68" s="503"/>
      <c r="F68" s="503"/>
      <c r="G68" s="504"/>
      <c r="H68" s="505"/>
      <c r="I68" s="505"/>
      <c r="J68" s="505"/>
      <c r="K68" s="505"/>
    </row>
    <row r="69" spans="1:15" ht="13.8" x14ac:dyDescent="0.25">
      <c r="A69" s="1070"/>
      <c r="B69" s="155" t="s">
        <v>604</v>
      </c>
      <c r="C69" s="510">
        <f>SUM(C50,C67,C63,C54,C56)</f>
        <v>4836</v>
      </c>
      <c r="D69" s="511">
        <f t="shared" ref="D69:K69" si="6">SUM(D50,D67,D63,D54,D56)</f>
        <v>1614</v>
      </c>
      <c r="E69" s="512">
        <f t="shared" si="6"/>
        <v>3222</v>
      </c>
      <c r="F69" s="512">
        <f t="shared" si="6"/>
        <v>0</v>
      </c>
      <c r="G69" s="513">
        <f t="shared" si="6"/>
        <v>0</v>
      </c>
      <c r="H69" s="512">
        <f t="shared" si="6"/>
        <v>435</v>
      </c>
      <c r="I69" s="512">
        <f t="shared" si="6"/>
        <v>0</v>
      </c>
      <c r="J69" s="512">
        <f t="shared" si="6"/>
        <v>4401</v>
      </c>
      <c r="K69" s="512">
        <f t="shared" si="6"/>
        <v>0</v>
      </c>
    </row>
    <row r="70" spans="1:15" x14ac:dyDescent="0.25">
      <c r="A70" s="1070"/>
      <c r="B70" s="45"/>
      <c r="C70" s="152"/>
      <c r="D70" s="195"/>
      <c r="E70" s="195"/>
      <c r="F70" s="195"/>
      <c r="G70" s="195"/>
      <c r="H70" s="107"/>
      <c r="I70" s="107"/>
      <c r="J70" s="107"/>
      <c r="K70" s="107"/>
    </row>
    <row r="71" spans="1:15" x14ac:dyDescent="0.25">
      <c r="A71" s="1070"/>
      <c r="B71" s="544"/>
      <c r="C71" s="545"/>
      <c r="D71" s="1067" t="s">
        <v>682</v>
      </c>
      <c r="E71" s="1068"/>
      <c r="F71" s="1068"/>
      <c r="G71" s="1069"/>
      <c r="H71" s="1066" t="s">
        <v>600</v>
      </c>
      <c r="I71" s="1066"/>
      <c r="J71" s="1066"/>
      <c r="K71" s="1066"/>
      <c r="O71" s="180"/>
    </row>
    <row r="72" spans="1:15" x14ac:dyDescent="0.25">
      <c r="A72" s="1070"/>
      <c r="B72" s="544"/>
      <c r="C72" s="545"/>
      <c r="D72" s="546"/>
      <c r="E72" s="547"/>
      <c r="F72" s="547"/>
      <c r="G72" s="545"/>
      <c r="H72" s="548"/>
      <c r="I72" s="549"/>
      <c r="J72" s="549"/>
      <c r="K72" s="549"/>
      <c r="O72" s="180"/>
    </row>
    <row r="73" spans="1:15" ht="26.4" x14ac:dyDescent="0.25">
      <c r="A73" s="1070"/>
      <c r="B73" s="544" t="s">
        <v>240</v>
      </c>
      <c r="C73" s="545" t="s">
        <v>683</v>
      </c>
      <c r="D73" s="546" t="s">
        <v>678</v>
      </c>
      <c r="E73" s="547" t="s">
        <v>679</v>
      </c>
      <c r="F73" s="547" t="s">
        <v>680</v>
      </c>
      <c r="G73" s="545" t="s">
        <v>681</v>
      </c>
      <c r="H73" s="548" t="s">
        <v>462</v>
      </c>
      <c r="I73" s="548" t="s">
        <v>463</v>
      </c>
      <c r="J73" s="549" t="s">
        <v>464</v>
      </c>
      <c r="K73" s="549" t="s">
        <v>202</v>
      </c>
      <c r="O73" s="180"/>
    </row>
    <row r="74" spans="1:15" x14ac:dyDescent="0.25">
      <c r="A74" s="1070"/>
      <c r="B74" s="550"/>
      <c r="C74" s="545" t="s">
        <v>298</v>
      </c>
      <c r="D74" s="546" t="s">
        <v>298</v>
      </c>
      <c r="E74" s="547" t="s">
        <v>298</v>
      </c>
      <c r="F74" s="547" t="s">
        <v>298</v>
      </c>
      <c r="G74" s="545" t="s">
        <v>298</v>
      </c>
      <c r="H74" s="548" t="s">
        <v>298</v>
      </c>
      <c r="I74" s="549" t="s">
        <v>298</v>
      </c>
      <c r="J74" s="549" t="s">
        <v>353</v>
      </c>
      <c r="K74" s="549" t="s">
        <v>353</v>
      </c>
      <c r="O74" s="180"/>
    </row>
    <row r="75" spans="1:15" ht="13.8" x14ac:dyDescent="0.25">
      <c r="A75" s="1070"/>
      <c r="B75" s="106" t="s">
        <v>451</v>
      </c>
      <c r="C75" s="188"/>
      <c r="D75" s="190"/>
      <c r="E75" s="153"/>
      <c r="F75" s="153"/>
      <c r="G75" s="191"/>
      <c r="H75" s="107"/>
      <c r="I75" s="107"/>
      <c r="J75" s="107"/>
      <c r="K75" s="107"/>
    </row>
    <row r="76" spans="1:15" x14ac:dyDescent="0.25">
      <c r="A76" s="1070"/>
      <c r="B76" s="45"/>
      <c r="C76" s="188"/>
      <c r="D76" s="190"/>
      <c r="E76" s="153"/>
      <c r="F76" s="153"/>
      <c r="G76" s="191"/>
      <c r="H76" s="107"/>
      <c r="I76" s="107"/>
      <c r="J76" s="107"/>
      <c r="K76" s="107"/>
    </row>
    <row r="77" spans="1:15" x14ac:dyDescent="0.25">
      <c r="A77" s="1070"/>
      <c r="B77" s="43" t="s">
        <v>30</v>
      </c>
      <c r="C77" s="188"/>
      <c r="D77" s="190"/>
      <c r="E77" s="153"/>
      <c r="F77" s="153"/>
      <c r="G77" s="191"/>
      <c r="H77" s="107"/>
      <c r="I77" s="107"/>
      <c r="J77" s="107"/>
      <c r="K77" s="107"/>
    </row>
    <row r="78" spans="1:15" x14ac:dyDescent="0.25">
      <c r="A78" s="1070"/>
      <c r="B78" s="45" t="s">
        <v>256</v>
      </c>
      <c r="C78" s="501">
        <v>60</v>
      </c>
      <c r="D78" s="502">
        <v>60</v>
      </c>
      <c r="E78" s="503">
        <v>0</v>
      </c>
      <c r="F78" s="503">
        <v>0</v>
      </c>
      <c r="G78" s="504">
        <v>0</v>
      </c>
      <c r="H78" s="505">
        <v>0</v>
      </c>
      <c r="I78" s="505">
        <v>0</v>
      </c>
      <c r="J78" s="505">
        <v>60</v>
      </c>
      <c r="K78" s="505">
        <v>0</v>
      </c>
    </row>
    <row r="79" spans="1:15" x14ac:dyDescent="0.25">
      <c r="A79" s="1070"/>
      <c r="B79" s="45" t="s">
        <v>259</v>
      </c>
      <c r="C79" s="501">
        <v>55</v>
      </c>
      <c r="D79" s="502">
        <v>55</v>
      </c>
      <c r="E79" s="503">
        <v>0</v>
      </c>
      <c r="F79" s="503">
        <v>0</v>
      </c>
      <c r="G79" s="504">
        <v>0</v>
      </c>
      <c r="H79" s="505">
        <v>0</v>
      </c>
      <c r="I79" s="505">
        <v>0</v>
      </c>
      <c r="J79" s="505">
        <v>55</v>
      </c>
      <c r="K79" s="505">
        <v>0</v>
      </c>
    </row>
    <row r="80" spans="1:15" x14ac:dyDescent="0.25">
      <c r="A80" s="1070"/>
      <c r="B80" s="101" t="s">
        <v>264</v>
      </c>
      <c r="C80" s="501">
        <v>80</v>
      </c>
      <c r="D80" s="502">
        <v>80</v>
      </c>
      <c r="E80" s="503">
        <v>0</v>
      </c>
      <c r="F80" s="503">
        <v>0</v>
      </c>
      <c r="G80" s="504">
        <v>0</v>
      </c>
      <c r="H80" s="503">
        <v>0</v>
      </c>
      <c r="I80" s="503">
        <v>0</v>
      </c>
      <c r="J80" s="503">
        <v>80</v>
      </c>
      <c r="K80" s="503">
        <v>0</v>
      </c>
    </row>
    <row r="81" spans="1:15" x14ac:dyDescent="0.25">
      <c r="A81" s="1070"/>
      <c r="B81" s="45" t="s">
        <v>241</v>
      </c>
      <c r="C81" s="501">
        <v>1116</v>
      </c>
      <c r="D81" s="502">
        <v>0</v>
      </c>
      <c r="E81" s="503">
        <v>1116</v>
      </c>
      <c r="F81" s="503">
        <v>0</v>
      </c>
      <c r="G81" s="504">
        <v>0</v>
      </c>
      <c r="H81" s="505">
        <v>0</v>
      </c>
      <c r="I81" s="505">
        <v>0</v>
      </c>
      <c r="J81" s="505">
        <v>1116</v>
      </c>
      <c r="K81" s="505">
        <v>0</v>
      </c>
    </row>
    <row r="82" spans="1:15" x14ac:dyDescent="0.25">
      <c r="A82" s="1070"/>
      <c r="B82" s="45" t="s">
        <v>245</v>
      </c>
      <c r="C82" s="501">
        <v>797</v>
      </c>
      <c r="D82" s="502">
        <v>0</v>
      </c>
      <c r="E82" s="503">
        <v>797</v>
      </c>
      <c r="F82" s="503">
        <v>0</v>
      </c>
      <c r="G82" s="504">
        <v>0</v>
      </c>
      <c r="H82" s="505">
        <v>0</v>
      </c>
      <c r="I82" s="505">
        <v>0</v>
      </c>
      <c r="J82" s="505">
        <v>797</v>
      </c>
      <c r="K82" s="505">
        <v>0</v>
      </c>
    </row>
    <row r="83" spans="1:15" x14ac:dyDescent="0.25">
      <c r="A83" s="1070"/>
      <c r="B83" s="45" t="s">
        <v>246</v>
      </c>
      <c r="C83" s="501">
        <v>368</v>
      </c>
      <c r="D83" s="502">
        <v>0</v>
      </c>
      <c r="E83" s="503">
        <v>368</v>
      </c>
      <c r="F83" s="503">
        <v>0</v>
      </c>
      <c r="G83" s="504">
        <v>0</v>
      </c>
      <c r="H83" s="505">
        <v>0</v>
      </c>
      <c r="I83" s="505">
        <v>0</v>
      </c>
      <c r="J83" s="505">
        <v>368</v>
      </c>
      <c r="K83" s="505">
        <v>0</v>
      </c>
    </row>
    <row r="84" spans="1:15" x14ac:dyDescent="0.25">
      <c r="A84" s="1070"/>
      <c r="B84" s="45" t="s">
        <v>247</v>
      </c>
      <c r="C84" s="501">
        <v>506</v>
      </c>
      <c r="D84" s="502">
        <v>0</v>
      </c>
      <c r="E84" s="503">
        <v>506</v>
      </c>
      <c r="F84" s="503">
        <v>0</v>
      </c>
      <c r="G84" s="504">
        <v>0</v>
      </c>
      <c r="H84" s="505">
        <v>0</v>
      </c>
      <c r="I84" s="505">
        <v>0</v>
      </c>
      <c r="J84" s="505">
        <v>506</v>
      </c>
      <c r="K84" s="505">
        <v>0</v>
      </c>
    </row>
    <row r="85" spans="1:15" x14ac:dyDescent="0.25">
      <c r="A85" s="1070"/>
      <c r="B85" s="45" t="s">
        <v>248</v>
      </c>
      <c r="C85" s="501">
        <v>20</v>
      </c>
      <c r="D85" s="502">
        <v>0</v>
      </c>
      <c r="E85" s="503">
        <v>20</v>
      </c>
      <c r="F85" s="503">
        <v>0</v>
      </c>
      <c r="G85" s="504">
        <v>0</v>
      </c>
      <c r="H85" s="505">
        <v>0</v>
      </c>
      <c r="I85" s="505">
        <v>0</v>
      </c>
      <c r="J85" s="505">
        <v>20</v>
      </c>
      <c r="K85" s="505">
        <v>0</v>
      </c>
    </row>
    <row r="86" spans="1:15" x14ac:dyDescent="0.25">
      <c r="A86" s="1070"/>
      <c r="B86" s="45" t="s">
        <v>249</v>
      </c>
      <c r="C86" s="501">
        <v>75</v>
      </c>
      <c r="D86" s="502">
        <v>0</v>
      </c>
      <c r="E86" s="503">
        <v>75</v>
      </c>
      <c r="F86" s="503">
        <v>0</v>
      </c>
      <c r="G86" s="504">
        <v>0</v>
      </c>
      <c r="H86" s="505">
        <v>0</v>
      </c>
      <c r="I86" s="505">
        <v>0</v>
      </c>
      <c r="J86" s="505">
        <v>75</v>
      </c>
      <c r="K86" s="505">
        <v>0</v>
      </c>
    </row>
    <row r="87" spans="1:15" x14ac:dyDescent="0.25">
      <c r="A87" s="1070"/>
      <c r="B87" s="45" t="s">
        <v>250</v>
      </c>
      <c r="C87" s="501">
        <v>220</v>
      </c>
      <c r="D87" s="502">
        <v>0</v>
      </c>
      <c r="E87" s="503">
        <v>220</v>
      </c>
      <c r="F87" s="503">
        <v>0</v>
      </c>
      <c r="G87" s="504">
        <v>0</v>
      </c>
      <c r="H87" s="505">
        <v>0</v>
      </c>
      <c r="I87" s="505">
        <v>0</v>
      </c>
      <c r="J87" s="505">
        <v>220</v>
      </c>
      <c r="K87" s="505">
        <v>0</v>
      </c>
    </row>
    <row r="88" spans="1:15" x14ac:dyDescent="0.25">
      <c r="A88" s="1070"/>
      <c r="B88" s="45" t="s">
        <v>251</v>
      </c>
      <c r="C88" s="501">
        <v>808</v>
      </c>
      <c r="D88" s="502">
        <v>0</v>
      </c>
      <c r="E88" s="503">
        <v>808</v>
      </c>
      <c r="F88" s="503">
        <v>0</v>
      </c>
      <c r="G88" s="504">
        <v>0</v>
      </c>
      <c r="H88" s="505">
        <v>808</v>
      </c>
      <c r="I88" s="505">
        <v>0</v>
      </c>
      <c r="J88" s="505">
        <v>0</v>
      </c>
      <c r="K88" s="505">
        <v>0</v>
      </c>
    </row>
    <row r="89" spans="1:15" x14ac:dyDescent="0.25">
      <c r="A89" s="1070"/>
      <c r="B89" s="45" t="s">
        <v>252</v>
      </c>
      <c r="C89" s="501">
        <v>85</v>
      </c>
      <c r="D89" s="502">
        <v>0</v>
      </c>
      <c r="E89" s="503">
        <v>85</v>
      </c>
      <c r="F89" s="503">
        <v>0</v>
      </c>
      <c r="G89" s="504">
        <v>0</v>
      </c>
      <c r="H89" s="505">
        <v>0</v>
      </c>
      <c r="I89" s="505">
        <v>0</v>
      </c>
      <c r="J89" s="505">
        <v>85</v>
      </c>
      <c r="K89" s="505">
        <v>0</v>
      </c>
    </row>
    <row r="90" spans="1:15" x14ac:dyDescent="0.25">
      <c r="A90" s="1070"/>
      <c r="B90" s="101" t="s">
        <v>253</v>
      </c>
      <c r="C90" s="501">
        <v>80</v>
      </c>
      <c r="D90" s="502">
        <v>0</v>
      </c>
      <c r="E90" s="503">
        <v>80</v>
      </c>
      <c r="F90" s="503">
        <v>0</v>
      </c>
      <c r="G90" s="504">
        <v>0</v>
      </c>
      <c r="H90" s="503">
        <v>0</v>
      </c>
      <c r="I90" s="503">
        <v>0</v>
      </c>
      <c r="J90" s="503">
        <v>80</v>
      </c>
      <c r="K90" s="503">
        <v>0</v>
      </c>
    </row>
    <row r="91" spans="1:15" x14ac:dyDescent="0.25">
      <c r="A91" s="1070"/>
      <c r="B91" s="101" t="s">
        <v>254</v>
      </c>
      <c r="C91" s="501">
        <v>70</v>
      </c>
      <c r="D91" s="502">
        <v>0</v>
      </c>
      <c r="E91" s="503">
        <v>70</v>
      </c>
      <c r="F91" s="503">
        <v>0</v>
      </c>
      <c r="G91" s="504">
        <v>0</v>
      </c>
      <c r="H91" s="503">
        <v>0</v>
      </c>
      <c r="I91" s="503">
        <v>0</v>
      </c>
      <c r="J91" s="503">
        <v>70</v>
      </c>
      <c r="K91" s="503">
        <v>0</v>
      </c>
    </row>
    <row r="92" spans="1:15" x14ac:dyDescent="0.25">
      <c r="A92" s="1070"/>
      <c r="B92" s="45" t="s">
        <v>255</v>
      </c>
      <c r="C92" s="501">
        <v>200</v>
      </c>
      <c r="D92" s="502">
        <v>0</v>
      </c>
      <c r="E92" s="503">
        <v>0</v>
      </c>
      <c r="F92" s="503">
        <v>100</v>
      </c>
      <c r="G92" s="504">
        <v>100</v>
      </c>
      <c r="H92" s="505">
        <v>0</v>
      </c>
      <c r="I92" s="505">
        <v>0</v>
      </c>
      <c r="J92" s="505">
        <v>200</v>
      </c>
      <c r="K92" s="505">
        <v>0</v>
      </c>
      <c r="O92" s="180"/>
    </row>
    <row r="93" spans="1:15" x14ac:dyDescent="0.25">
      <c r="A93" s="1070"/>
      <c r="B93" s="45" t="s">
        <v>257</v>
      </c>
      <c r="C93" s="501">
        <v>300</v>
      </c>
      <c r="D93" s="502">
        <v>0</v>
      </c>
      <c r="E93" s="503">
        <v>0</v>
      </c>
      <c r="F93" s="503">
        <v>150</v>
      </c>
      <c r="G93" s="504">
        <v>150</v>
      </c>
      <c r="H93" s="505">
        <v>0</v>
      </c>
      <c r="I93" s="505">
        <v>0</v>
      </c>
      <c r="J93" s="505">
        <v>300</v>
      </c>
      <c r="K93" s="505">
        <v>0</v>
      </c>
      <c r="O93" s="181"/>
    </row>
    <row r="94" spans="1:15" x14ac:dyDescent="0.25">
      <c r="A94" s="1070"/>
      <c r="B94" s="154" t="s">
        <v>258</v>
      </c>
      <c r="C94" s="506">
        <v>110</v>
      </c>
      <c r="D94" s="507">
        <v>0</v>
      </c>
      <c r="E94" s="508">
        <v>0</v>
      </c>
      <c r="F94" s="508">
        <v>55</v>
      </c>
      <c r="G94" s="509">
        <v>55</v>
      </c>
      <c r="H94" s="508">
        <v>0</v>
      </c>
      <c r="I94" s="508">
        <v>0</v>
      </c>
      <c r="J94" s="508">
        <v>110</v>
      </c>
      <c r="K94" s="508">
        <v>0</v>
      </c>
      <c r="O94" s="180"/>
    </row>
    <row r="95" spans="1:15" x14ac:dyDescent="0.25">
      <c r="A95" s="1070"/>
      <c r="B95" s="116" t="s">
        <v>695</v>
      </c>
      <c r="C95" s="506">
        <f t="shared" ref="C95:K95" si="7">SUM(C78:C94)</f>
        <v>4950</v>
      </c>
      <c r="D95" s="507">
        <f t="shared" si="7"/>
        <v>195</v>
      </c>
      <c r="E95" s="508">
        <f t="shared" si="7"/>
        <v>4145</v>
      </c>
      <c r="F95" s="508">
        <f t="shared" si="7"/>
        <v>305</v>
      </c>
      <c r="G95" s="509">
        <f t="shared" si="7"/>
        <v>305</v>
      </c>
      <c r="H95" s="508">
        <f t="shared" si="7"/>
        <v>808</v>
      </c>
      <c r="I95" s="508">
        <f t="shared" si="7"/>
        <v>0</v>
      </c>
      <c r="J95" s="508">
        <f t="shared" si="7"/>
        <v>4142</v>
      </c>
      <c r="K95" s="508">
        <f t="shared" si="7"/>
        <v>0</v>
      </c>
      <c r="O95" s="180"/>
    </row>
    <row r="96" spans="1:15" x14ac:dyDescent="0.25">
      <c r="A96" s="1070"/>
      <c r="B96" s="45"/>
      <c r="C96" s="501"/>
      <c r="D96" s="502"/>
      <c r="E96" s="503"/>
      <c r="F96" s="503"/>
      <c r="G96" s="504"/>
      <c r="H96" s="505"/>
      <c r="I96" s="505"/>
      <c r="J96" s="505"/>
      <c r="K96" s="505"/>
      <c r="O96" s="180"/>
    </row>
    <row r="97" spans="1:11" x14ac:dyDescent="0.25">
      <c r="A97" s="1070"/>
      <c r="B97" s="43" t="s">
        <v>452</v>
      </c>
      <c r="C97" s="501"/>
      <c r="D97" s="502"/>
      <c r="E97" s="503"/>
      <c r="F97" s="503"/>
      <c r="G97" s="504"/>
      <c r="H97" s="505"/>
      <c r="I97" s="505"/>
      <c r="J97" s="505"/>
      <c r="K97" s="505"/>
    </row>
    <row r="98" spans="1:11" x14ac:dyDescent="0.25">
      <c r="A98" s="1070"/>
      <c r="B98" s="154" t="s">
        <v>193</v>
      </c>
      <c r="C98" s="506">
        <v>10</v>
      </c>
      <c r="D98" s="507">
        <v>0</v>
      </c>
      <c r="E98" s="508">
        <v>10</v>
      </c>
      <c r="F98" s="508">
        <v>0</v>
      </c>
      <c r="G98" s="509">
        <v>0</v>
      </c>
      <c r="H98" s="508">
        <v>0</v>
      </c>
      <c r="I98" s="508">
        <v>0</v>
      </c>
      <c r="J98" s="508">
        <v>10</v>
      </c>
      <c r="K98" s="508">
        <v>0</v>
      </c>
    </row>
    <row r="99" spans="1:11" x14ac:dyDescent="0.25">
      <c r="A99" s="1070"/>
      <c r="B99" s="156" t="s">
        <v>696</v>
      </c>
      <c r="C99" s="518">
        <f>SUM(C98)</f>
        <v>10</v>
      </c>
      <c r="D99" s="519">
        <f t="shared" ref="D99:K99" si="8">SUM(D98)</f>
        <v>0</v>
      </c>
      <c r="E99" s="520">
        <f t="shared" si="8"/>
        <v>10</v>
      </c>
      <c r="F99" s="520">
        <f t="shared" si="8"/>
        <v>0</v>
      </c>
      <c r="G99" s="521">
        <f t="shared" si="8"/>
        <v>0</v>
      </c>
      <c r="H99" s="520">
        <f t="shared" si="8"/>
        <v>0</v>
      </c>
      <c r="I99" s="520">
        <f t="shared" si="8"/>
        <v>0</v>
      </c>
      <c r="J99" s="520">
        <f t="shared" si="8"/>
        <v>10</v>
      </c>
      <c r="K99" s="520">
        <f t="shared" si="8"/>
        <v>0</v>
      </c>
    </row>
    <row r="100" spans="1:11" x14ac:dyDescent="0.25">
      <c r="A100" s="1070"/>
      <c r="B100" s="544"/>
      <c r="C100" s="545"/>
      <c r="D100" s="1067" t="s">
        <v>682</v>
      </c>
      <c r="E100" s="1068"/>
      <c r="F100" s="1068"/>
      <c r="G100" s="1069"/>
      <c r="H100" s="1066" t="s">
        <v>600</v>
      </c>
      <c r="I100" s="1066"/>
      <c r="J100" s="1066"/>
      <c r="K100" s="1066"/>
    </row>
    <row r="101" spans="1:11" x14ac:dyDescent="0.25">
      <c r="A101" s="1070"/>
      <c r="B101" s="544"/>
      <c r="C101" s="545"/>
      <c r="D101" s="546"/>
      <c r="E101" s="547"/>
      <c r="F101" s="547"/>
      <c r="G101" s="545"/>
      <c r="H101" s="548"/>
      <c r="I101" s="549"/>
      <c r="J101" s="549"/>
      <c r="K101" s="549"/>
    </row>
    <row r="102" spans="1:11" ht="26.4" x14ac:dyDescent="0.25">
      <c r="A102" s="1070"/>
      <c r="B102" s="544" t="s">
        <v>240</v>
      </c>
      <c r="C102" s="545" t="s">
        <v>683</v>
      </c>
      <c r="D102" s="546" t="s">
        <v>678</v>
      </c>
      <c r="E102" s="547" t="s">
        <v>679</v>
      </c>
      <c r="F102" s="547" t="s">
        <v>680</v>
      </c>
      <c r="G102" s="545" t="s">
        <v>681</v>
      </c>
      <c r="H102" s="548" t="s">
        <v>462</v>
      </c>
      <c r="I102" s="548" t="s">
        <v>463</v>
      </c>
      <c r="J102" s="549" t="s">
        <v>464</v>
      </c>
      <c r="K102" s="549" t="s">
        <v>202</v>
      </c>
    </row>
    <row r="103" spans="1:11" x14ac:dyDescent="0.25">
      <c r="A103" s="1070"/>
      <c r="B103" s="550"/>
      <c r="C103" s="545" t="s">
        <v>298</v>
      </c>
      <c r="D103" s="546" t="s">
        <v>298</v>
      </c>
      <c r="E103" s="547" t="s">
        <v>298</v>
      </c>
      <c r="F103" s="547" t="s">
        <v>298</v>
      </c>
      <c r="G103" s="545" t="s">
        <v>298</v>
      </c>
      <c r="H103" s="548" t="s">
        <v>298</v>
      </c>
      <c r="I103" s="549" t="s">
        <v>298</v>
      </c>
      <c r="J103" s="549" t="s">
        <v>353</v>
      </c>
      <c r="K103" s="549" t="s">
        <v>353</v>
      </c>
    </row>
    <row r="104" spans="1:11" x14ac:dyDescent="0.25">
      <c r="A104" s="1070"/>
      <c r="B104" s="43" t="s">
        <v>697</v>
      </c>
      <c r="C104" s="188"/>
      <c r="D104" s="190"/>
      <c r="E104" s="153"/>
      <c r="F104" s="153"/>
      <c r="G104" s="191"/>
      <c r="H104" s="107"/>
      <c r="I104" s="107"/>
      <c r="J104" s="107"/>
      <c r="K104" s="107"/>
    </row>
    <row r="105" spans="1:11" x14ac:dyDescent="0.25">
      <c r="A105" s="1070"/>
      <c r="B105" s="45" t="s">
        <v>260</v>
      </c>
      <c r="C105" s="501">
        <v>25</v>
      </c>
      <c r="D105" s="502">
        <v>25</v>
      </c>
      <c r="E105" s="503">
        <v>0</v>
      </c>
      <c r="F105" s="503">
        <v>0</v>
      </c>
      <c r="G105" s="504">
        <v>0</v>
      </c>
      <c r="H105" s="505">
        <v>0</v>
      </c>
      <c r="I105" s="505">
        <v>0</v>
      </c>
      <c r="J105" s="505">
        <v>25</v>
      </c>
      <c r="K105" s="505">
        <v>0</v>
      </c>
    </row>
    <row r="106" spans="1:11" x14ac:dyDescent="0.25">
      <c r="A106" s="1070"/>
      <c r="B106" s="45" t="s">
        <v>261</v>
      </c>
      <c r="C106" s="501">
        <v>15</v>
      </c>
      <c r="D106" s="502">
        <v>15</v>
      </c>
      <c r="E106" s="503">
        <v>0</v>
      </c>
      <c r="F106" s="503">
        <v>0</v>
      </c>
      <c r="G106" s="504">
        <v>0</v>
      </c>
      <c r="H106" s="505">
        <v>0</v>
      </c>
      <c r="I106" s="505">
        <v>0</v>
      </c>
      <c r="J106" s="505">
        <v>15</v>
      </c>
      <c r="K106" s="505">
        <v>0</v>
      </c>
    </row>
    <row r="107" spans="1:11" x14ac:dyDescent="0.25">
      <c r="A107" s="1070"/>
      <c r="B107" s="101" t="s">
        <v>262</v>
      </c>
      <c r="C107" s="501">
        <v>20</v>
      </c>
      <c r="D107" s="502">
        <v>20</v>
      </c>
      <c r="E107" s="503">
        <v>0</v>
      </c>
      <c r="F107" s="503">
        <v>0</v>
      </c>
      <c r="G107" s="504">
        <v>0</v>
      </c>
      <c r="H107" s="503">
        <v>0</v>
      </c>
      <c r="I107" s="503">
        <v>0</v>
      </c>
      <c r="J107" s="503">
        <v>20</v>
      </c>
      <c r="K107" s="503">
        <v>0</v>
      </c>
    </row>
    <row r="108" spans="1:11" x14ac:dyDescent="0.25">
      <c r="A108" s="1070"/>
      <c r="B108" s="101" t="s">
        <v>263</v>
      </c>
      <c r="C108" s="501">
        <v>20</v>
      </c>
      <c r="D108" s="502">
        <v>20</v>
      </c>
      <c r="E108" s="503">
        <v>0</v>
      </c>
      <c r="F108" s="503">
        <v>0</v>
      </c>
      <c r="G108" s="504">
        <v>0</v>
      </c>
      <c r="H108" s="503">
        <v>0</v>
      </c>
      <c r="I108" s="503">
        <v>0</v>
      </c>
      <c r="J108" s="503">
        <v>20</v>
      </c>
      <c r="K108" s="503">
        <v>0</v>
      </c>
    </row>
    <row r="109" spans="1:11" x14ac:dyDescent="0.25">
      <c r="A109" s="1070"/>
      <c r="B109" s="45" t="s">
        <v>243</v>
      </c>
      <c r="C109" s="501">
        <v>173</v>
      </c>
      <c r="D109" s="502">
        <v>0</v>
      </c>
      <c r="E109" s="503">
        <v>173</v>
      </c>
      <c r="F109" s="503">
        <v>0</v>
      </c>
      <c r="G109" s="504">
        <v>0</v>
      </c>
      <c r="H109" s="505">
        <v>0</v>
      </c>
      <c r="I109" s="505">
        <v>0</v>
      </c>
      <c r="J109" s="505">
        <v>173</v>
      </c>
      <c r="K109" s="505">
        <v>0</v>
      </c>
    </row>
    <row r="110" spans="1:11" x14ac:dyDescent="0.25">
      <c r="A110" s="1070"/>
      <c r="B110" s="154" t="s">
        <v>244</v>
      </c>
      <c r="C110" s="506">
        <v>94</v>
      </c>
      <c r="D110" s="507">
        <v>0</v>
      </c>
      <c r="E110" s="508">
        <v>94</v>
      </c>
      <c r="F110" s="508">
        <v>0</v>
      </c>
      <c r="G110" s="509">
        <v>0</v>
      </c>
      <c r="H110" s="508">
        <v>0</v>
      </c>
      <c r="I110" s="508">
        <v>0</v>
      </c>
      <c r="J110" s="508">
        <v>94</v>
      </c>
      <c r="K110" s="508">
        <v>0</v>
      </c>
    </row>
    <row r="111" spans="1:11" x14ac:dyDescent="0.25">
      <c r="A111" s="1070"/>
      <c r="B111" s="156" t="s">
        <v>698</v>
      </c>
      <c r="C111" s="518">
        <f>SUM(C105:C110)</f>
        <v>347</v>
      </c>
      <c r="D111" s="519">
        <f t="shared" ref="D111:K111" si="9">SUM(D105:D110)</f>
        <v>80</v>
      </c>
      <c r="E111" s="520">
        <f t="shared" si="9"/>
        <v>267</v>
      </c>
      <c r="F111" s="520">
        <f t="shared" si="9"/>
        <v>0</v>
      </c>
      <c r="G111" s="521">
        <f t="shared" si="9"/>
        <v>0</v>
      </c>
      <c r="H111" s="520">
        <f t="shared" si="9"/>
        <v>0</v>
      </c>
      <c r="I111" s="520">
        <f t="shared" si="9"/>
        <v>0</v>
      </c>
      <c r="J111" s="520">
        <f t="shared" si="9"/>
        <v>347</v>
      </c>
      <c r="K111" s="520">
        <f t="shared" si="9"/>
        <v>0</v>
      </c>
    </row>
    <row r="112" spans="1:11" x14ac:dyDescent="0.25">
      <c r="A112" s="1070"/>
      <c r="B112" s="45"/>
      <c r="C112" s="501"/>
      <c r="D112" s="502"/>
      <c r="E112" s="503"/>
      <c r="F112" s="503"/>
      <c r="G112" s="504"/>
      <c r="H112" s="505"/>
      <c r="I112" s="505"/>
      <c r="J112" s="505"/>
      <c r="K112" s="505"/>
    </row>
    <row r="113" spans="1:11" x14ac:dyDescent="0.25">
      <c r="A113" s="1070"/>
      <c r="B113" s="43" t="s">
        <v>363</v>
      </c>
      <c r="C113" s="501"/>
      <c r="D113" s="502"/>
      <c r="E113" s="503"/>
      <c r="F113" s="503"/>
      <c r="G113" s="504"/>
      <c r="H113" s="505"/>
      <c r="I113" s="505"/>
      <c r="J113" s="505"/>
      <c r="K113" s="505"/>
    </row>
    <row r="114" spans="1:11" x14ac:dyDescent="0.25">
      <c r="A114" s="1070"/>
      <c r="B114" s="101" t="s">
        <v>268</v>
      </c>
      <c r="C114" s="501">
        <v>40</v>
      </c>
      <c r="D114" s="502">
        <v>40</v>
      </c>
      <c r="E114" s="503">
        <v>0</v>
      </c>
      <c r="F114" s="503">
        <v>0</v>
      </c>
      <c r="G114" s="504">
        <v>0</v>
      </c>
      <c r="H114" s="503">
        <v>0</v>
      </c>
      <c r="I114" s="503">
        <v>0</v>
      </c>
      <c r="J114" s="503">
        <v>40</v>
      </c>
      <c r="K114" s="503">
        <v>0</v>
      </c>
    </row>
    <row r="115" spans="1:11" x14ac:dyDescent="0.25">
      <c r="A115" s="1070"/>
      <c r="B115" s="45" t="s">
        <v>605</v>
      </c>
      <c r="C115" s="501">
        <v>570</v>
      </c>
      <c r="D115" s="502">
        <v>0</v>
      </c>
      <c r="E115" s="503">
        <v>570</v>
      </c>
      <c r="F115" s="503">
        <v>0</v>
      </c>
      <c r="G115" s="504">
        <v>0</v>
      </c>
      <c r="H115" s="505">
        <v>0</v>
      </c>
      <c r="I115" s="505">
        <v>0</v>
      </c>
      <c r="J115" s="505">
        <v>570</v>
      </c>
      <c r="K115" s="505">
        <v>0</v>
      </c>
    </row>
    <row r="116" spans="1:11" x14ac:dyDescent="0.25">
      <c r="A116" s="1070"/>
      <c r="B116" s="45" t="s">
        <v>266</v>
      </c>
      <c r="C116" s="501">
        <v>500</v>
      </c>
      <c r="D116" s="502">
        <v>0</v>
      </c>
      <c r="E116" s="503">
        <v>500</v>
      </c>
      <c r="F116" s="503">
        <v>0</v>
      </c>
      <c r="G116" s="504">
        <v>0</v>
      </c>
      <c r="H116" s="505">
        <v>430</v>
      </c>
      <c r="I116" s="505">
        <v>0</v>
      </c>
      <c r="J116" s="505">
        <v>70</v>
      </c>
      <c r="K116" s="505">
        <v>0</v>
      </c>
    </row>
    <row r="117" spans="1:11" x14ac:dyDescent="0.25">
      <c r="A117" s="1070"/>
      <c r="B117" s="45" t="s">
        <v>194</v>
      </c>
      <c r="C117" s="501">
        <v>20</v>
      </c>
      <c r="D117" s="502">
        <v>0</v>
      </c>
      <c r="E117" s="503">
        <v>20</v>
      </c>
      <c r="F117" s="503">
        <v>0</v>
      </c>
      <c r="G117" s="504">
        <v>0</v>
      </c>
      <c r="H117" s="505">
        <v>0</v>
      </c>
      <c r="I117" s="505">
        <v>0</v>
      </c>
      <c r="J117" s="505">
        <v>20</v>
      </c>
      <c r="K117" s="505">
        <v>0</v>
      </c>
    </row>
    <row r="118" spans="1:11" x14ac:dyDescent="0.25">
      <c r="A118" s="1070"/>
      <c r="B118" s="101" t="s">
        <v>267</v>
      </c>
      <c r="C118" s="501">
        <v>220</v>
      </c>
      <c r="D118" s="502">
        <v>0</v>
      </c>
      <c r="E118" s="503">
        <v>220</v>
      </c>
      <c r="F118" s="503">
        <v>0</v>
      </c>
      <c r="G118" s="504">
        <v>0</v>
      </c>
      <c r="H118" s="503">
        <v>0</v>
      </c>
      <c r="I118" s="503">
        <v>0</v>
      </c>
      <c r="J118" s="503">
        <v>220</v>
      </c>
      <c r="K118" s="503">
        <v>0</v>
      </c>
    </row>
    <row r="119" spans="1:11" x14ac:dyDescent="0.25">
      <c r="A119" s="1070"/>
      <c r="B119" s="154" t="s">
        <v>195</v>
      </c>
      <c r="C119" s="506">
        <v>300</v>
      </c>
      <c r="D119" s="507">
        <v>0</v>
      </c>
      <c r="E119" s="508">
        <v>0</v>
      </c>
      <c r="F119" s="508">
        <v>150</v>
      </c>
      <c r="G119" s="509">
        <v>150</v>
      </c>
      <c r="H119" s="508">
        <v>0</v>
      </c>
      <c r="I119" s="508">
        <v>0</v>
      </c>
      <c r="J119" s="508">
        <v>300</v>
      </c>
      <c r="K119" s="508">
        <v>0</v>
      </c>
    </row>
    <row r="120" spans="1:11" x14ac:dyDescent="0.25">
      <c r="A120" s="1070"/>
      <c r="B120" s="156" t="s">
        <v>699</v>
      </c>
      <c r="C120" s="518">
        <f>SUM(C114:C119)</f>
        <v>1650</v>
      </c>
      <c r="D120" s="519">
        <f t="shared" ref="D120:K120" si="10">SUM(D114:D119)</f>
        <v>40</v>
      </c>
      <c r="E120" s="520">
        <f t="shared" si="10"/>
        <v>1310</v>
      </c>
      <c r="F120" s="520">
        <f t="shared" si="10"/>
        <v>150</v>
      </c>
      <c r="G120" s="521">
        <f t="shared" si="10"/>
        <v>150</v>
      </c>
      <c r="H120" s="520">
        <f t="shared" si="10"/>
        <v>430</v>
      </c>
      <c r="I120" s="520">
        <f t="shared" si="10"/>
        <v>0</v>
      </c>
      <c r="J120" s="520">
        <f t="shared" si="10"/>
        <v>1220</v>
      </c>
      <c r="K120" s="520">
        <f t="shared" si="10"/>
        <v>0</v>
      </c>
    </row>
    <row r="121" spans="1:11" x14ac:dyDescent="0.25">
      <c r="A121" s="1070"/>
      <c r="C121" s="514"/>
      <c r="D121" s="522"/>
      <c r="E121" s="523"/>
      <c r="F121" s="523"/>
      <c r="G121" s="524"/>
      <c r="H121" s="399"/>
      <c r="I121" s="399"/>
      <c r="J121" s="399"/>
      <c r="K121" s="399"/>
    </row>
    <row r="122" spans="1:11" ht="26.4" x14ac:dyDescent="0.25">
      <c r="A122" s="1070"/>
      <c r="B122" s="43" t="s">
        <v>700</v>
      </c>
      <c r="C122" s="501"/>
      <c r="D122" s="502"/>
      <c r="E122" s="503"/>
      <c r="F122" s="503"/>
      <c r="G122" s="504"/>
      <c r="H122" s="505"/>
      <c r="I122" s="505"/>
      <c r="J122" s="505"/>
      <c r="K122" s="505"/>
    </row>
    <row r="123" spans="1:11" x14ac:dyDescent="0.25">
      <c r="A123" s="1070"/>
      <c r="B123" s="45" t="s">
        <v>272</v>
      </c>
      <c r="C123" s="501">
        <v>91</v>
      </c>
      <c r="D123" s="502">
        <v>91</v>
      </c>
      <c r="E123" s="503">
        <v>0</v>
      </c>
      <c r="F123" s="503">
        <v>0</v>
      </c>
      <c r="G123" s="504">
        <v>0</v>
      </c>
      <c r="H123" s="505">
        <v>0</v>
      </c>
      <c r="I123" s="505">
        <v>0</v>
      </c>
      <c r="J123" s="505">
        <v>91</v>
      </c>
      <c r="K123" s="505">
        <v>0</v>
      </c>
    </row>
    <row r="124" spans="1:11" x14ac:dyDescent="0.25">
      <c r="A124" s="1070"/>
      <c r="B124" s="45" t="s">
        <v>273</v>
      </c>
      <c r="C124" s="501">
        <v>170</v>
      </c>
      <c r="D124" s="502">
        <v>170</v>
      </c>
      <c r="E124" s="503">
        <v>0</v>
      </c>
      <c r="F124" s="503">
        <v>0</v>
      </c>
      <c r="G124" s="504">
        <v>0</v>
      </c>
      <c r="H124" s="505">
        <v>0</v>
      </c>
      <c r="I124" s="505">
        <v>0</v>
      </c>
      <c r="J124" s="505">
        <v>170</v>
      </c>
      <c r="K124" s="505">
        <v>0</v>
      </c>
    </row>
    <row r="125" spans="1:11" x14ac:dyDescent="0.25">
      <c r="A125" s="1070"/>
      <c r="B125" s="154" t="s">
        <v>274</v>
      </c>
      <c r="C125" s="506">
        <v>358</v>
      </c>
      <c r="D125" s="507">
        <v>358</v>
      </c>
      <c r="E125" s="508">
        <v>0</v>
      </c>
      <c r="F125" s="508">
        <v>0</v>
      </c>
      <c r="G125" s="509">
        <v>0</v>
      </c>
      <c r="H125" s="508">
        <v>0</v>
      </c>
      <c r="I125" s="508">
        <v>0</v>
      </c>
      <c r="J125" s="508">
        <v>358</v>
      </c>
      <c r="K125" s="508">
        <v>0</v>
      </c>
    </row>
    <row r="126" spans="1:11" ht="26.4" x14ac:dyDescent="0.25">
      <c r="A126" s="1070"/>
      <c r="B126" s="156" t="s">
        <v>1417</v>
      </c>
      <c r="C126" s="518">
        <f>SUM(C123:C125)</f>
        <v>619</v>
      </c>
      <c r="D126" s="519">
        <f t="shared" ref="D126:K126" si="11">SUM(D123:D125)</f>
        <v>619</v>
      </c>
      <c r="E126" s="520">
        <f t="shared" si="11"/>
        <v>0</v>
      </c>
      <c r="F126" s="520">
        <f t="shared" si="11"/>
        <v>0</v>
      </c>
      <c r="G126" s="521">
        <f t="shared" si="11"/>
        <v>0</v>
      </c>
      <c r="H126" s="520">
        <f t="shared" si="11"/>
        <v>0</v>
      </c>
      <c r="I126" s="520">
        <f t="shared" si="11"/>
        <v>0</v>
      </c>
      <c r="J126" s="520">
        <f t="shared" si="11"/>
        <v>619</v>
      </c>
      <c r="K126" s="520">
        <f t="shared" si="11"/>
        <v>0</v>
      </c>
    </row>
    <row r="127" spans="1:11" ht="8.25" customHeight="1" x14ac:dyDescent="0.25">
      <c r="A127" s="1070"/>
      <c r="B127" s="45"/>
      <c r="C127" s="501"/>
      <c r="D127" s="502"/>
      <c r="E127" s="503"/>
      <c r="F127" s="503"/>
      <c r="G127" s="504"/>
      <c r="H127" s="505"/>
      <c r="I127" s="505"/>
      <c r="J127" s="505"/>
      <c r="K127" s="505"/>
    </row>
    <row r="128" spans="1:11" x14ac:dyDescent="0.25">
      <c r="A128" s="1070"/>
      <c r="B128" s="43" t="s">
        <v>707</v>
      </c>
      <c r="C128" s="501">
        <v>0</v>
      </c>
      <c r="D128" s="502">
        <v>0</v>
      </c>
      <c r="E128" s="503">
        <v>0</v>
      </c>
      <c r="F128" s="503">
        <v>0</v>
      </c>
      <c r="G128" s="504">
        <v>0</v>
      </c>
      <c r="H128" s="505">
        <v>0</v>
      </c>
      <c r="I128" s="505">
        <v>0</v>
      </c>
      <c r="J128" s="505">
        <v>0</v>
      </c>
      <c r="K128" s="505">
        <v>0</v>
      </c>
    </row>
    <row r="129" spans="1:11" ht="6.75" customHeight="1" x14ac:dyDescent="0.25">
      <c r="A129" s="1070"/>
      <c r="B129" s="45"/>
      <c r="C129" s="501"/>
      <c r="D129" s="502"/>
      <c r="E129" s="503"/>
      <c r="F129" s="503"/>
      <c r="G129" s="504"/>
      <c r="H129" s="505"/>
      <c r="I129" s="505"/>
      <c r="J129" s="505"/>
      <c r="K129" s="505"/>
    </row>
    <row r="130" spans="1:11" x14ac:dyDescent="0.25">
      <c r="A130" s="1070"/>
      <c r="B130" s="43" t="s">
        <v>701</v>
      </c>
      <c r="C130" s="501"/>
      <c r="D130" s="502"/>
      <c r="E130" s="503"/>
      <c r="F130" s="503"/>
      <c r="G130" s="504"/>
      <c r="H130" s="505"/>
      <c r="I130" s="505"/>
      <c r="J130" s="505"/>
      <c r="K130" s="505"/>
    </row>
    <row r="131" spans="1:11" x14ac:dyDescent="0.25">
      <c r="A131" s="1070"/>
      <c r="B131" s="45" t="s">
        <v>269</v>
      </c>
      <c r="C131" s="501">
        <v>2083</v>
      </c>
      <c r="D131" s="502">
        <v>0</v>
      </c>
      <c r="E131" s="503">
        <v>2083</v>
      </c>
      <c r="F131" s="503">
        <v>0</v>
      </c>
      <c r="G131" s="504">
        <v>0</v>
      </c>
      <c r="H131" s="505">
        <v>0</v>
      </c>
      <c r="I131" s="505">
        <v>0</v>
      </c>
      <c r="J131" s="505">
        <v>2083</v>
      </c>
      <c r="K131" s="505">
        <v>0</v>
      </c>
    </row>
    <row r="132" spans="1:11" x14ac:dyDescent="0.25">
      <c r="A132" s="1070"/>
      <c r="B132" s="45" t="s">
        <v>270</v>
      </c>
      <c r="C132" s="501">
        <v>25</v>
      </c>
      <c r="D132" s="502">
        <v>0</v>
      </c>
      <c r="E132" s="503">
        <v>25</v>
      </c>
      <c r="F132" s="503">
        <v>0</v>
      </c>
      <c r="G132" s="504">
        <v>0</v>
      </c>
      <c r="H132" s="505">
        <v>0</v>
      </c>
      <c r="I132" s="505">
        <v>0</v>
      </c>
      <c r="J132" s="505">
        <v>25</v>
      </c>
      <c r="K132" s="505">
        <v>0</v>
      </c>
    </row>
    <row r="133" spans="1:11" x14ac:dyDescent="0.25">
      <c r="A133" s="1070"/>
      <c r="B133" s="45" t="s">
        <v>271</v>
      </c>
      <c r="C133" s="501">
        <v>380</v>
      </c>
      <c r="D133" s="502">
        <v>0</v>
      </c>
      <c r="E133" s="503">
        <v>380</v>
      </c>
      <c r="F133" s="503">
        <v>0</v>
      </c>
      <c r="G133" s="504">
        <v>0</v>
      </c>
      <c r="H133" s="505">
        <v>0</v>
      </c>
      <c r="I133" s="505">
        <v>0</v>
      </c>
      <c r="J133" s="505">
        <v>380</v>
      </c>
      <c r="K133" s="505">
        <v>0</v>
      </c>
    </row>
    <row r="134" spans="1:11" x14ac:dyDescent="0.25">
      <c r="A134" s="1070"/>
      <c r="B134" s="154" t="s">
        <v>606</v>
      </c>
      <c r="C134" s="506">
        <v>76</v>
      </c>
      <c r="D134" s="507">
        <v>0</v>
      </c>
      <c r="E134" s="508">
        <v>76</v>
      </c>
      <c r="F134" s="508">
        <v>0</v>
      </c>
      <c r="G134" s="509">
        <v>0</v>
      </c>
      <c r="H134" s="508">
        <v>0</v>
      </c>
      <c r="I134" s="508">
        <v>0</v>
      </c>
      <c r="J134" s="508">
        <v>76</v>
      </c>
      <c r="K134" s="508">
        <v>0</v>
      </c>
    </row>
    <row r="135" spans="1:11" x14ac:dyDescent="0.25">
      <c r="A135" s="1070"/>
      <c r="B135" s="156" t="s">
        <v>702</v>
      </c>
      <c r="C135" s="518">
        <f>SUM(C131:C134)</f>
        <v>2564</v>
      </c>
      <c r="D135" s="519">
        <f t="shared" ref="D135:K135" si="12">SUM(D131:D134)</f>
        <v>0</v>
      </c>
      <c r="E135" s="520">
        <f t="shared" si="12"/>
        <v>2564</v>
      </c>
      <c r="F135" s="520">
        <f t="shared" si="12"/>
        <v>0</v>
      </c>
      <c r="G135" s="521">
        <f t="shared" si="12"/>
        <v>0</v>
      </c>
      <c r="H135" s="520">
        <f t="shared" si="12"/>
        <v>0</v>
      </c>
      <c r="I135" s="520">
        <f t="shared" si="12"/>
        <v>0</v>
      </c>
      <c r="J135" s="520">
        <f t="shared" si="12"/>
        <v>2564</v>
      </c>
      <c r="K135" s="520">
        <f t="shared" si="12"/>
        <v>0</v>
      </c>
    </row>
    <row r="136" spans="1:11" s="178" customFormat="1" x14ac:dyDescent="0.25">
      <c r="A136" s="1070"/>
      <c r="B136" s="544"/>
      <c r="C136" s="545"/>
      <c r="D136" s="1067" t="s">
        <v>682</v>
      </c>
      <c r="E136" s="1068"/>
      <c r="F136" s="1068"/>
      <c r="G136" s="1069"/>
      <c r="H136" s="1066" t="s">
        <v>600</v>
      </c>
      <c r="I136" s="1066"/>
      <c r="J136" s="1066"/>
      <c r="K136" s="1066"/>
    </row>
    <row r="137" spans="1:11" s="178" customFormat="1" x14ac:dyDescent="0.25">
      <c r="A137" s="1070"/>
      <c r="B137" s="544"/>
      <c r="C137" s="545"/>
      <c r="D137" s="546"/>
      <c r="E137" s="547"/>
      <c r="F137" s="547"/>
      <c r="G137" s="545"/>
      <c r="H137" s="548"/>
      <c r="I137" s="549"/>
      <c r="J137" s="549"/>
      <c r="K137" s="549"/>
    </row>
    <row r="138" spans="1:11" s="178" customFormat="1" ht="26.4" x14ac:dyDescent="0.25">
      <c r="A138" s="1070"/>
      <c r="B138" s="544" t="s">
        <v>240</v>
      </c>
      <c r="C138" s="545" t="s">
        <v>683</v>
      </c>
      <c r="D138" s="546" t="s">
        <v>678</v>
      </c>
      <c r="E138" s="547" t="s">
        <v>679</v>
      </c>
      <c r="F138" s="547" t="s">
        <v>680</v>
      </c>
      <c r="G138" s="545" t="s">
        <v>681</v>
      </c>
      <c r="H138" s="548" t="s">
        <v>462</v>
      </c>
      <c r="I138" s="548" t="s">
        <v>463</v>
      </c>
      <c r="J138" s="549" t="s">
        <v>464</v>
      </c>
      <c r="K138" s="549" t="s">
        <v>202</v>
      </c>
    </row>
    <row r="139" spans="1:11" s="178" customFormat="1" x14ac:dyDescent="0.25">
      <c r="A139" s="1070"/>
      <c r="B139" s="550"/>
      <c r="C139" s="545" t="s">
        <v>298</v>
      </c>
      <c r="D139" s="546" t="s">
        <v>298</v>
      </c>
      <c r="E139" s="547" t="s">
        <v>298</v>
      </c>
      <c r="F139" s="547" t="s">
        <v>298</v>
      </c>
      <c r="G139" s="545" t="s">
        <v>298</v>
      </c>
      <c r="H139" s="548" t="s">
        <v>298</v>
      </c>
      <c r="I139" s="549" t="s">
        <v>298</v>
      </c>
      <c r="J139" s="549" t="s">
        <v>353</v>
      </c>
      <c r="K139" s="549" t="s">
        <v>353</v>
      </c>
    </row>
    <row r="140" spans="1:11" x14ac:dyDescent="0.25">
      <c r="A140" s="1070"/>
      <c r="B140" s="45"/>
      <c r="C140" s="501"/>
      <c r="D140" s="502"/>
      <c r="E140" s="503"/>
      <c r="F140" s="503"/>
      <c r="G140" s="504"/>
      <c r="H140" s="505"/>
      <c r="I140" s="505"/>
      <c r="J140" s="505"/>
      <c r="K140" s="505"/>
    </row>
    <row r="141" spans="1:11" x14ac:dyDescent="0.25">
      <c r="A141" s="1070"/>
      <c r="B141" s="43" t="s">
        <v>578</v>
      </c>
      <c r="C141" s="497">
        <v>0</v>
      </c>
      <c r="D141" s="498">
        <v>0</v>
      </c>
      <c r="E141" s="499">
        <v>0</v>
      </c>
      <c r="F141" s="499">
        <v>0</v>
      </c>
      <c r="G141" s="500">
        <v>0</v>
      </c>
      <c r="H141" s="493">
        <v>0</v>
      </c>
      <c r="I141" s="493">
        <v>0</v>
      </c>
      <c r="J141" s="493">
        <v>0</v>
      </c>
      <c r="K141" s="493">
        <v>0</v>
      </c>
    </row>
    <row r="142" spans="1:11" x14ac:dyDescent="0.25">
      <c r="A142" s="1070"/>
      <c r="B142" s="43"/>
      <c r="C142" s="501"/>
      <c r="D142" s="502"/>
      <c r="E142" s="503"/>
      <c r="F142" s="503"/>
      <c r="G142" s="504"/>
      <c r="H142" s="505"/>
      <c r="I142" s="505"/>
      <c r="J142" s="505"/>
      <c r="K142" s="505"/>
    </row>
    <row r="143" spans="1:11" x14ac:dyDescent="0.25">
      <c r="A143" s="1070"/>
      <c r="B143" s="43" t="s">
        <v>703</v>
      </c>
      <c r="C143" s="501"/>
      <c r="D143" s="502"/>
      <c r="E143" s="503"/>
      <c r="F143" s="503"/>
      <c r="G143" s="504"/>
      <c r="H143" s="505"/>
      <c r="I143" s="505"/>
      <c r="J143" s="505"/>
      <c r="K143" s="505"/>
    </row>
    <row r="144" spans="1:11" x14ac:dyDescent="0.25">
      <c r="A144" s="1070"/>
      <c r="B144" s="154" t="s">
        <v>242</v>
      </c>
      <c r="C144" s="506">
        <v>80</v>
      </c>
      <c r="D144" s="507">
        <v>0</v>
      </c>
      <c r="E144" s="508">
        <v>80</v>
      </c>
      <c r="F144" s="508">
        <v>0</v>
      </c>
      <c r="G144" s="509">
        <v>0</v>
      </c>
      <c r="H144" s="508">
        <v>0</v>
      </c>
      <c r="I144" s="508">
        <v>0</v>
      </c>
      <c r="J144" s="508">
        <v>80</v>
      </c>
      <c r="K144" s="508">
        <v>0</v>
      </c>
    </row>
    <row r="145" spans="1:11" x14ac:dyDescent="0.25">
      <c r="A145" s="1070"/>
      <c r="B145" s="156" t="s">
        <v>704</v>
      </c>
      <c r="C145" s="518">
        <f>SUM(C144)</f>
        <v>80</v>
      </c>
      <c r="D145" s="519">
        <f t="shared" ref="D145:K145" si="13">SUM(D144)</f>
        <v>0</v>
      </c>
      <c r="E145" s="520">
        <f t="shared" si="13"/>
        <v>80</v>
      </c>
      <c r="F145" s="520">
        <f t="shared" si="13"/>
        <v>0</v>
      </c>
      <c r="G145" s="521">
        <f t="shared" si="13"/>
        <v>0</v>
      </c>
      <c r="H145" s="520">
        <f t="shared" si="13"/>
        <v>0</v>
      </c>
      <c r="I145" s="520">
        <f t="shared" si="13"/>
        <v>0</v>
      </c>
      <c r="J145" s="520">
        <f t="shared" si="13"/>
        <v>80</v>
      </c>
      <c r="K145" s="520">
        <f t="shared" si="13"/>
        <v>0</v>
      </c>
    </row>
    <row r="146" spans="1:11" x14ac:dyDescent="0.25">
      <c r="A146" s="1070"/>
      <c r="B146" s="45"/>
      <c r="C146" s="501"/>
      <c r="D146" s="502"/>
      <c r="E146" s="503"/>
      <c r="F146" s="503"/>
      <c r="G146" s="504"/>
      <c r="H146" s="505"/>
      <c r="I146" s="505"/>
      <c r="J146" s="505"/>
      <c r="K146" s="505"/>
    </row>
    <row r="147" spans="1:11" x14ac:dyDescent="0.25">
      <c r="A147" s="1070"/>
      <c r="B147" s="43" t="s">
        <v>705</v>
      </c>
      <c r="C147" s="501"/>
      <c r="D147" s="502"/>
      <c r="E147" s="503"/>
      <c r="F147" s="503"/>
      <c r="G147" s="504"/>
      <c r="H147" s="505"/>
      <c r="I147" s="505"/>
      <c r="J147" s="505"/>
      <c r="K147" s="505"/>
    </row>
    <row r="148" spans="1:11" x14ac:dyDescent="0.25">
      <c r="A148" s="1070"/>
      <c r="B148" s="154" t="s">
        <v>275</v>
      </c>
      <c r="C148" s="506">
        <v>105</v>
      </c>
      <c r="D148" s="507">
        <v>105</v>
      </c>
      <c r="E148" s="508">
        <v>0</v>
      </c>
      <c r="F148" s="508">
        <v>0</v>
      </c>
      <c r="G148" s="509">
        <v>0</v>
      </c>
      <c r="H148" s="508">
        <v>35</v>
      </c>
      <c r="I148" s="508">
        <v>0</v>
      </c>
      <c r="J148" s="508">
        <v>70</v>
      </c>
      <c r="K148" s="508">
        <v>0</v>
      </c>
    </row>
    <row r="149" spans="1:11" x14ac:dyDescent="0.25">
      <c r="A149" s="1070"/>
      <c r="B149" s="156" t="s">
        <v>706</v>
      </c>
      <c r="C149" s="518">
        <f>SUM(C148)</f>
        <v>105</v>
      </c>
      <c r="D149" s="519">
        <f t="shared" ref="D149:K149" si="14">SUM(D148)</f>
        <v>105</v>
      </c>
      <c r="E149" s="520">
        <f t="shared" si="14"/>
        <v>0</v>
      </c>
      <c r="F149" s="520">
        <f t="shared" si="14"/>
        <v>0</v>
      </c>
      <c r="G149" s="521">
        <f t="shared" si="14"/>
        <v>0</v>
      </c>
      <c r="H149" s="520">
        <f t="shared" si="14"/>
        <v>35</v>
      </c>
      <c r="I149" s="520">
        <f t="shared" si="14"/>
        <v>0</v>
      </c>
      <c r="J149" s="520">
        <f t="shared" si="14"/>
        <v>70</v>
      </c>
      <c r="K149" s="520">
        <f t="shared" si="14"/>
        <v>0</v>
      </c>
    </row>
    <row r="150" spans="1:11" x14ac:dyDescent="0.25">
      <c r="A150" s="1070"/>
      <c r="B150" s="43"/>
      <c r="C150" s="501"/>
      <c r="D150" s="502"/>
      <c r="E150" s="503"/>
      <c r="F150" s="503"/>
      <c r="G150" s="504"/>
      <c r="H150" s="505"/>
      <c r="I150" s="505"/>
      <c r="J150" s="505"/>
      <c r="K150" s="505"/>
    </row>
    <row r="151" spans="1:11" ht="13.8" x14ac:dyDescent="0.25">
      <c r="A151" s="1070"/>
      <c r="B151" s="155" t="s">
        <v>607</v>
      </c>
      <c r="C151" s="510">
        <f t="shared" ref="C151:K151" si="15">SUM(C149,C145,C135,C128,C126,C120,C111,C99,C95)</f>
        <v>10325</v>
      </c>
      <c r="D151" s="511">
        <f t="shared" si="15"/>
        <v>1039</v>
      </c>
      <c r="E151" s="512">
        <f t="shared" si="15"/>
        <v>8376</v>
      </c>
      <c r="F151" s="512">
        <f t="shared" si="15"/>
        <v>455</v>
      </c>
      <c r="G151" s="513">
        <f t="shared" si="15"/>
        <v>455</v>
      </c>
      <c r="H151" s="512">
        <f t="shared" si="15"/>
        <v>1273</v>
      </c>
      <c r="I151" s="512">
        <f t="shared" si="15"/>
        <v>0</v>
      </c>
      <c r="J151" s="512">
        <f t="shared" si="15"/>
        <v>9052</v>
      </c>
      <c r="K151" s="512">
        <f t="shared" si="15"/>
        <v>0</v>
      </c>
    </row>
    <row r="152" spans="1:11" ht="15.6" x14ac:dyDescent="0.25">
      <c r="A152" s="1070"/>
      <c r="B152" s="157"/>
      <c r="C152" s="525"/>
      <c r="D152" s="526"/>
      <c r="E152" s="527"/>
      <c r="F152" s="527"/>
      <c r="G152" s="528"/>
      <c r="H152" s="527"/>
      <c r="I152" s="527"/>
      <c r="J152" s="527"/>
      <c r="K152" s="527"/>
    </row>
    <row r="153" spans="1:11" ht="13.8" x14ac:dyDescent="0.25">
      <c r="A153" s="1070"/>
      <c r="B153" s="155" t="s">
        <v>1275</v>
      </c>
      <c r="C153" s="510">
        <f t="shared" ref="C153:K153" si="16">SUM(C151,C69,C42)</f>
        <v>23592</v>
      </c>
      <c r="D153" s="511">
        <f t="shared" si="16"/>
        <v>8060</v>
      </c>
      <c r="E153" s="512">
        <f t="shared" si="16"/>
        <v>14622</v>
      </c>
      <c r="F153" s="512">
        <f t="shared" si="16"/>
        <v>455</v>
      </c>
      <c r="G153" s="513">
        <f t="shared" si="16"/>
        <v>455</v>
      </c>
      <c r="H153" s="512">
        <f t="shared" si="16"/>
        <v>5816</v>
      </c>
      <c r="I153" s="512">
        <f t="shared" si="16"/>
        <v>0</v>
      </c>
      <c r="J153" s="512">
        <f t="shared" si="16"/>
        <v>17776</v>
      </c>
      <c r="K153" s="512">
        <f t="shared" si="16"/>
        <v>0</v>
      </c>
    </row>
    <row r="154" spans="1:11" x14ac:dyDescent="0.25">
      <c r="A154" s="1070"/>
      <c r="B154" s="45"/>
      <c r="C154" s="494"/>
      <c r="D154" s="493"/>
      <c r="E154" s="493"/>
      <c r="F154" s="493"/>
      <c r="G154" s="493"/>
      <c r="H154" s="493"/>
      <c r="I154" s="493"/>
      <c r="J154" s="493"/>
      <c r="K154" s="493"/>
    </row>
    <row r="155" spans="1:11" x14ac:dyDescent="0.25">
      <c r="A155" s="1070"/>
      <c r="C155" s="514"/>
      <c r="D155" s="529"/>
      <c r="E155" s="529"/>
      <c r="F155" s="529"/>
      <c r="G155" s="529"/>
      <c r="H155" s="516"/>
      <c r="I155" s="516"/>
      <c r="J155" s="516"/>
      <c r="K155" s="516"/>
    </row>
    <row r="156" spans="1:11" ht="13.8" x14ac:dyDescent="0.25">
      <c r="A156" s="1070"/>
      <c r="B156" s="269" t="s">
        <v>1113</v>
      </c>
      <c r="D156" s="174"/>
      <c r="E156" s="174"/>
      <c r="F156" s="174"/>
      <c r="G156" s="174"/>
      <c r="H156" s="105"/>
      <c r="I156" s="105"/>
      <c r="J156" s="105"/>
      <c r="K156" s="105"/>
    </row>
    <row r="157" spans="1:11" x14ac:dyDescent="0.25">
      <c r="A157" s="1070"/>
      <c r="D157" s="174"/>
      <c r="E157" s="174"/>
      <c r="F157" s="174"/>
      <c r="G157" s="174"/>
      <c r="H157" s="105"/>
      <c r="I157" s="105"/>
      <c r="J157" s="105"/>
      <c r="K157" s="105"/>
    </row>
    <row r="158" spans="1:11" x14ac:dyDescent="0.25">
      <c r="A158" s="1070"/>
      <c r="B158" s="544"/>
      <c r="C158" s="545"/>
      <c r="D158" s="1067" t="s">
        <v>682</v>
      </c>
      <c r="E158" s="1068"/>
      <c r="F158" s="1068"/>
      <c r="G158" s="1069"/>
      <c r="H158" s="1066" t="s">
        <v>600</v>
      </c>
      <c r="I158" s="1066"/>
      <c r="J158" s="1066"/>
      <c r="K158" s="1066"/>
    </row>
    <row r="159" spans="1:11" x14ac:dyDescent="0.25">
      <c r="A159" s="1070"/>
      <c r="B159" s="1066" t="s">
        <v>608</v>
      </c>
      <c r="C159" s="545"/>
      <c r="D159" s="546"/>
      <c r="E159" s="547"/>
      <c r="F159" s="547"/>
      <c r="G159" s="545"/>
      <c r="H159" s="548"/>
      <c r="I159" s="549"/>
      <c r="J159" s="549"/>
      <c r="K159" s="549"/>
    </row>
    <row r="160" spans="1:11" ht="26.4" x14ac:dyDescent="0.25">
      <c r="A160" s="1070"/>
      <c r="B160" s="1066"/>
      <c r="C160" s="545" t="s">
        <v>683</v>
      </c>
      <c r="D160" s="546" t="s">
        <v>678</v>
      </c>
      <c r="E160" s="547" t="s">
        <v>679</v>
      </c>
      <c r="F160" s="547" t="s">
        <v>680</v>
      </c>
      <c r="G160" s="545" t="s">
        <v>681</v>
      </c>
      <c r="H160" s="548" t="s">
        <v>462</v>
      </c>
      <c r="I160" s="548" t="s">
        <v>463</v>
      </c>
      <c r="J160" s="549" t="s">
        <v>464</v>
      </c>
      <c r="K160" s="549" t="s">
        <v>202</v>
      </c>
    </row>
    <row r="161" spans="1:11" x14ac:dyDescent="0.25">
      <c r="A161" s="1070"/>
      <c r="B161" s="1066"/>
      <c r="C161" s="545" t="s">
        <v>298</v>
      </c>
      <c r="D161" s="546" t="s">
        <v>298</v>
      </c>
      <c r="E161" s="547" t="s">
        <v>298</v>
      </c>
      <c r="F161" s="547" t="s">
        <v>298</v>
      </c>
      <c r="G161" s="545" t="s">
        <v>298</v>
      </c>
      <c r="H161" s="548" t="s">
        <v>298</v>
      </c>
      <c r="I161" s="549" t="s">
        <v>298</v>
      </c>
      <c r="J161" s="549" t="s">
        <v>353</v>
      </c>
      <c r="K161" s="549" t="s">
        <v>353</v>
      </c>
    </row>
    <row r="162" spans="1:11" x14ac:dyDescent="0.25">
      <c r="A162" s="1070"/>
      <c r="C162" s="192"/>
      <c r="D162" s="193"/>
      <c r="E162" s="179"/>
      <c r="F162" s="179"/>
      <c r="G162" s="194"/>
      <c r="H162" s="105"/>
      <c r="I162" s="105"/>
      <c r="J162" s="105"/>
      <c r="K162" s="105"/>
    </row>
    <row r="163" spans="1:11" ht="13.8" x14ac:dyDescent="0.25">
      <c r="A163" s="1070"/>
      <c r="B163" s="106" t="s">
        <v>442</v>
      </c>
      <c r="C163" s="187"/>
      <c r="D163" s="189"/>
      <c r="E163" s="111"/>
      <c r="F163" s="111"/>
      <c r="G163" s="187"/>
      <c r="H163" s="44"/>
      <c r="I163" s="87"/>
      <c r="J163" s="87"/>
      <c r="K163" s="87"/>
    </row>
    <row r="164" spans="1:11" x14ac:dyDescent="0.25">
      <c r="A164" s="1070"/>
      <c r="B164" s="43"/>
      <c r="C164" s="187"/>
      <c r="D164" s="189"/>
      <c r="E164" s="111"/>
      <c r="F164" s="111"/>
      <c r="G164" s="187"/>
      <c r="H164" s="44"/>
      <c r="I164" s="87"/>
      <c r="J164" s="87"/>
      <c r="K164" s="87"/>
    </row>
    <row r="165" spans="1:11" x14ac:dyDescent="0.25">
      <c r="A165" s="1070"/>
      <c r="B165" s="43" t="s">
        <v>443</v>
      </c>
      <c r="C165" s="497">
        <v>0</v>
      </c>
      <c r="D165" s="498">
        <v>0</v>
      </c>
      <c r="E165" s="499">
        <v>0</v>
      </c>
      <c r="F165" s="499">
        <v>0</v>
      </c>
      <c r="G165" s="500">
        <v>0</v>
      </c>
      <c r="H165" s="493">
        <v>0</v>
      </c>
      <c r="I165" s="493">
        <v>0</v>
      </c>
      <c r="J165" s="493">
        <v>0</v>
      </c>
      <c r="K165" s="493">
        <v>0</v>
      </c>
    </row>
    <row r="166" spans="1:11" x14ac:dyDescent="0.25">
      <c r="A166" s="1070"/>
      <c r="B166" s="43" t="s">
        <v>684</v>
      </c>
      <c r="C166" s="497">
        <v>0</v>
      </c>
      <c r="D166" s="498">
        <v>0</v>
      </c>
      <c r="E166" s="499">
        <v>0</v>
      </c>
      <c r="F166" s="499">
        <v>0</v>
      </c>
      <c r="G166" s="500">
        <v>0</v>
      </c>
      <c r="H166" s="493">
        <v>0</v>
      </c>
      <c r="I166" s="493">
        <v>0</v>
      </c>
      <c r="J166" s="493">
        <v>0</v>
      </c>
      <c r="K166" s="493">
        <v>0</v>
      </c>
    </row>
    <row r="167" spans="1:11" s="197" customFormat="1" x14ac:dyDescent="0.25">
      <c r="A167" s="1070"/>
      <c r="B167" s="156" t="s">
        <v>780</v>
      </c>
      <c r="C167" s="518">
        <f t="shared" ref="C167:K167" si="17">SUM(C165:C166)</f>
        <v>0</v>
      </c>
      <c r="D167" s="519">
        <f t="shared" si="17"/>
        <v>0</v>
      </c>
      <c r="E167" s="520">
        <f t="shared" si="17"/>
        <v>0</v>
      </c>
      <c r="F167" s="520">
        <f t="shared" si="17"/>
        <v>0</v>
      </c>
      <c r="G167" s="521">
        <f t="shared" si="17"/>
        <v>0</v>
      </c>
      <c r="H167" s="520">
        <f t="shared" si="17"/>
        <v>0</v>
      </c>
      <c r="I167" s="520">
        <f t="shared" si="17"/>
        <v>0</v>
      </c>
      <c r="J167" s="520">
        <f t="shared" si="17"/>
        <v>0</v>
      </c>
      <c r="K167" s="520">
        <f t="shared" si="17"/>
        <v>0</v>
      </c>
    </row>
    <row r="168" spans="1:11" s="204" customFormat="1" x14ac:dyDescent="0.25">
      <c r="A168" s="1070"/>
      <c r="B168" s="43"/>
      <c r="C168" s="497"/>
      <c r="D168" s="498"/>
      <c r="E168" s="499"/>
      <c r="F168" s="499"/>
      <c r="G168" s="500"/>
      <c r="H168" s="493"/>
      <c r="I168" s="493"/>
      <c r="J168" s="493"/>
      <c r="K168" s="493"/>
    </row>
    <row r="169" spans="1:11" x14ac:dyDescent="0.25">
      <c r="A169" s="1070"/>
      <c r="B169" s="43" t="s">
        <v>31</v>
      </c>
      <c r="C169" s="497"/>
      <c r="D169" s="498"/>
      <c r="E169" s="499"/>
      <c r="F169" s="499"/>
      <c r="G169" s="500"/>
      <c r="H169" s="493"/>
      <c r="I169" s="493"/>
      <c r="J169" s="493"/>
      <c r="K169" s="493"/>
    </row>
    <row r="170" spans="1:11" x14ac:dyDescent="0.25">
      <c r="A170" s="1070"/>
      <c r="B170" s="101" t="s">
        <v>294</v>
      </c>
      <c r="C170" s="501">
        <v>752</v>
      </c>
      <c r="D170" s="502">
        <v>752</v>
      </c>
      <c r="E170" s="503">
        <v>0</v>
      </c>
      <c r="F170" s="503">
        <v>0</v>
      </c>
      <c r="G170" s="504">
        <v>0</v>
      </c>
      <c r="H170" s="503">
        <v>0</v>
      </c>
      <c r="I170" s="503">
        <v>0</v>
      </c>
      <c r="J170" s="503">
        <v>752</v>
      </c>
      <c r="K170" s="503">
        <v>0</v>
      </c>
    </row>
    <row r="171" spans="1:11" x14ac:dyDescent="0.25">
      <c r="A171" s="1070"/>
      <c r="B171" s="45" t="s">
        <v>276</v>
      </c>
      <c r="C171" s="501">
        <v>300</v>
      </c>
      <c r="D171" s="502">
        <v>0</v>
      </c>
      <c r="E171" s="503">
        <v>300</v>
      </c>
      <c r="F171" s="503">
        <v>0</v>
      </c>
      <c r="G171" s="504">
        <v>0</v>
      </c>
      <c r="H171" s="505">
        <v>20</v>
      </c>
      <c r="I171" s="505">
        <v>0</v>
      </c>
      <c r="J171" s="505">
        <v>280</v>
      </c>
      <c r="K171" s="505">
        <v>0</v>
      </c>
    </row>
    <row r="172" spans="1:11" x14ac:dyDescent="0.25">
      <c r="A172" s="1070"/>
      <c r="B172" s="45" t="s">
        <v>277</v>
      </c>
      <c r="C172" s="501">
        <v>490</v>
      </c>
      <c r="D172" s="502">
        <v>0</v>
      </c>
      <c r="E172" s="503">
        <v>490</v>
      </c>
      <c r="F172" s="503">
        <v>0</v>
      </c>
      <c r="G172" s="504">
        <v>0</v>
      </c>
      <c r="H172" s="505">
        <v>150</v>
      </c>
      <c r="I172" s="505">
        <v>0</v>
      </c>
      <c r="J172" s="505">
        <v>340</v>
      </c>
      <c r="K172" s="505">
        <v>0</v>
      </c>
    </row>
    <row r="173" spans="1:11" x14ac:dyDescent="0.25">
      <c r="A173" s="1070"/>
      <c r="B173" s="45" t="s">
        <v>278</v>
      </c>
      <c r="C173" s="501">
        <v>215</v>
      </c>
      <c r="D173" s="502">
        <v>0</v>
      </c>
      <c r="E173" s="503">
        <v>215</v>
      </c>
      <c r="F173" s="503">
        <v>0</v>
      </c>
      <c r="G173" s="504">
        <v>0</v>
      </c>
      <c r="H173" s="505">
        <v>0</v>
      </c>
      <c r="I173" s="505">
        <v>0</v>
      </c>
      <c r="J173" s="505">
        <v>215</v>
      </c>
      <c r="K173" s="505">
        <v>0</v>
      </c>
    </row>
    <row r="174" spans="1:11" x14ac:dyDescent="0.25">
      <c r="A174" s="1070"/>
      <c r="B174" s="101" t="s">
        <v>609</v>
      </c>
      <c r="C174" s="501">
        <v>297</v>
      </c>
      <c r="D174" s="502">
        <v>0</v>
      </c>
      <c r="E174" s="503">
        <v>297</v>
      </c>
      <c r="F174" s="503">
        <v>0</v>
      </c>
      <c r="G174" s="504">
        <v>0</v>
      </c>
      <c r="H174" s="503">
        <v>0</v>
      </c>
      <c r="I174" s="503">
        <v>0</v>
      </c>
      <c r="J174" s="503">
        <v>297</v>
      </c>
      <c r="K174" s="503">
        <v>0</v>
      </c>
    </row>
    <row r="175" spans="1:11" x14ac:dyDescent="0.25">
      <c r="A175" s="1070"/>
      <c r="B175" s="154" t="s">
        <v>293</v>
      </c>
      <c r="C175" s="506">
        <v>3000</v>
      </c>
      <c r="D175" s="507">
        <v>0</v>
      </c>
      <c r="E175" s="508">
        <v>0</v>
      </c>
      <c r="F175" s="508">
        <v>0</v>
      </c>
      <c r="G175" s="509">
        <v>3000</v>
      </c>
      <c r="H175" s="508">
        <v>0</v>
      </c>
      <c r="I175" s="508">
        <v>0</v>
      </c>
      <c r="J175" s="508">
        <v>3000</v>
      </c>
      <c r="K175" s="508">
        <v>0</v>
      </c>
    </row>
    <row r="176" spans="1:11" x14ac:dyDescent="0.25">
      <c r="A176" s="1070"/>
      <c r="B176" s="156" t="s">
        <v>685</v>
      </c>
      <c r="C176" s="518">
        <f>SUM(C170:C175)</f>
        <v>5054</v>
      </c>
      <c r="D176" s="519">
        <f t="shared" ref="D176:K176" si="18">SUM(D170:D175)</f>
        <v>752</v>
      </c>
      <c r="E176" s="520">
        <f t="shared" si="18"/>
        <v>1302</v>
      </c>
      <c r="F176" s="520">
        <f t="shared" si="18"/>
        <v>0</v>
      </c>
      <c r="G176" s="521">
        <f t="shared" si="18"/>
        <v>3000</v>
      </c>
      <c r="H176" s="520">
        <f t="shared" si="18"/>
        <v>170</v>
      </c>
      <c r="I176" s="520">
        <f t="shared" si="18"/>
        <v>0</v>
      </c>
      <c r="J176" s="520">
        <f t="shared" si="18"/>
        <v>4884</v>
      </c>
      <c r="K176" s="520">
        <f t="shared" si="18"/>
        <v>0</v>
      </c>
    </row>
    <row r="177" spans="1:11" x14ac:dyDescent="0.25">
      <c r="A177" s="1070"/>
      <c r="B177" s="45"/>
      <c r="C177" s="501"/>
      <c r="D177" s="502"/>
      <c r="E177" s="503"/>
      <c r="F177" s="503"/>
      <c r="G177" s="504"/>
      <c r="H177" s="505"/>
      <c r="I177" s="505"/>
      <c r="J177" s="505"/>
      <c r="K177" s="505"/>
    </row>
    <row r="178" spans="1:11" x14ac:dyDescent="0.25">
      <c r="A178" s="1070"/>
      <c r="B178" s="43" t="s">
        <v>572</v>
      </c>
      <c r="C178" s="497">
        <v>0</v>
      </c>
      <c r="D178" s="498">
        <v>0</v>
      </c>
      <c r="E178" s="499">
        <v>0</v>
      </c>
      <c r="F178" s="499">
        <v>0</v>
      </c>
      <c r="G178" s="500">
        <v>0</v>
      </c>
      <c r="H178" s="493">
        <v>0</v>
      </c>
      <c r="I178" s="493">
        <v>0</v>
      </c>
      <c r="J178" s="493">
        <v>0</v>
      </c>
      <c r="K178" s="493">
        <v>0</v>
      </c>
    </row>
    <row r="179" spans="1:11" x14ac:dyDescent="0.25">
      <c r="A179" s="1070"/>
      <c r="B179" s="43"/>
      <c r="C179" s="501"/>
      <c r="D179" s="502"/>
      <c r="E179" s="503"/>
      <c r="F179" s="503"/>
      <c r="G179" s="504"/>
      <c r="H179" s="505"/>
      <c r="I179" s="505"/>
      <c r="J179" s="505"/>
      <c r="K179" s="505"/>
    </row>
    <row r="180" spans="1:11" x14ac:dyDescent="0.25">
      <c r="A180" s="1070"/>
      <c r="B180" s="43" t="s">
        <v>445</v>
      </c>
      <c r="C180" s="497">
        <v>0</v>
      </c>
      <c r="D180" s="498">
        <v>0</v>
      </c>
      <c r="E180" s="499">
        <v>0</v>
      </c>
      <c r="F180" s="499">
        <v>0</v>
      </c>
      <c r="G180" s="500">
        <v>0</v>
      </c>
      <c r="H180" s="493">
        <v>0</v>
      </c>
      <c r="I180" s="493">
        <v>0</v>
      </c>
      <c r="J180" s="493">
        <v>0</v>
      </c>
      <c r="K180" s="493">
        <v>0</v>
      </c>
    </row>
    <row r="181" spans="1:11" x14ac:dyDescent="0.25">
      <c r="A181" s="1070"/>
      <c r="B181" s="43"/>
      <c r="C181" s="501"/>
      <c r="D181" s="502"/>
      <c r="E181" s="503"/>
      <c r="F181" s="503"/>
      <c r="G181" s="504"/>
      <c r="H181" s="505"/>
      <c r="I181" s="505"/>
      <c r="J181" s="505"/>
      <c r="K181" s="505"/>
    </row>
    <row r="182" spans="1:11" x14ac:dyDescent="0.25">
      <c r="A182" s="1070"/>
      <c r="B182" s="116" t="s">
        <v>571</v>
      </c>
      <c r="C182" s="530">
        <v>0</v>
      </c>
      <c r="D182" s="531">
        <v>0</v>
      </c>
      <c r="E182" s="495">
        <v>0</v>
      </c>
      <c r="F182" s="495">
        <v>0</v>
      </c>
      <c r="G182" s="532">
        <v>0</v>
      </c>
      <c r="H182" s="495">
        <v>0</v>
      </c>
      <c r="I182" s="495">
        <v>0</v>
      </c>
      <c r="J182" s="495">
        <v>0</v>
      </c>
      <c r="K182" s="495">
        <v>0</v>
      </c>
    </row>
    <row r="183" spans="1:11" x14ac:dyDescent="0.25">
      <c r="A183" s="1070"/>
      <c r="B183" s="101"/>
      <c r="C183" s="501"/>
      <c r="D183" s="502"/>
      <c r="E183" s="503"/>
      <c r="F183" s="503"/>
      <c r="G183" s="504"/>
      <c r="H183" s="503"/>
      <c r="I183" s="503"/>
      <c r="J183" s="503"/>
      <c r="K183" s="503"/>
    </row>
    <row r="184" spans="1:11" ht="13.8" x14ac:dyDescent="0.25">
      <c r="A184" s="1070"/>
      <c r="B184" s="155" t="s">
        <v>603</v>
      </c>
      <c r="C184" s="510">
        <f>SUM(C167,C176,C178,C180,C182)</f>
        <v>5054</v>
      </c>
      <c r="D184" s="511">
        <f t="shared" ref="D184:K184" si="19">SUM(D167,D176,D178,D180,D182)</f>
        <v>752</v>
      </c>
      <c r="E184" s="512">
        <f t="shared" si="19"/>
        <v>1302</v>
      </c>
      <c r="F184" s="512">
        <f t="shared" si="19"/>
        <v>0</v>
      </c>
      <c r="G184" s="513">
        <f t="shared" si="19"/>
        <v>3000</v>
      </c>
      <c r="H184" s="512">
        <f t="shared" si="19"/>
        <v>170</v>
      </c>
      <c r="I184" s="512">
        <f t="shared" si="19"/>
        <v>0</v>
      </c>
      <c r="J184" s="512">
        <f t="shared" si="19"/>
        <v>4884</v>
      </c>
      <c r="K184" s="512">
        <f t="shared" si="19"/>
        <v>0</v>
      </c>
    </row>
    <row r="185" spans="1:11" x14ac:dyDescent="0.25">
      <c r="A185" s="1070"/>
      <c r="B185" s="45"/>
      <c r="C185" s="501"/>
      <c r="D185" s="502"/>
      <c r="E185" s="503"/>
      <c r="F185" s="503"/>
      <c r="G185" s="504"/>
      <c r="H185" s="505"/>
      <c r="I185" s="505"/>
      <c r="J185" s="505"/>
      <c r="K185" s="505"/>
    </row>
    <row r="186" spans="1:11" ht="13.8" x14ac:dyDescent="0.25">
      <c r="A186" s="1070"/>
      <c r="B186" s="106" t="s">
        <v>446</v>
      </c>
      <c r="C186" s="501"/>
      <c r="D186" s="502"/>
      <c r="E186" s="503"/>
      <c r="F186" s="503"/>
      <c r="G186" s="504"/>
      <c r="H186" s="505"/>
      <c r="I186" s="505"/>
      <c r="J186" s="505"/>
      <c r="K186" s="505"/>
    </row>
    <row r="187" spans="1:11" x14ac:dyDescent="0.25">
      <c r="A187" s="1070"/>
      <c r="B187" s="45"/>
      <c r="C187" s="501"/>
      <c r="D187" s="502"/>
      <c r="E187" s="503"/>
      <c r="F187" s="503"/>
      <c r="G187" s="504"/>
      <c r="H187" s="505"/>
      <c r="I187" s="505"/>
      <c r="J187" s="505"/>
      <c r="K187" s="505"/>
    </row>
    <row r="188" spans="1:11" s="200" customFormat="1" x14ac:dyDescent="0.25">
      <c r="A188" s="1070"/>
      <c r="B188" s="43" t="s">
        <v>692</v>
      </c>
      <c r="C188" s="497">
        <v>0</v>
      </c>
      <c r="D188" s="498">
        <v>0</v>
      </c>
      <c r="E188" s="499">
        <v>0</v>
      </c>
      <c r="F188" s="499">
        <v>0</v>
      </c>
      <c r="G188" s="500">
        <v>0</v>
      </c>
      <c r="H188" s="493">
        <v>0</v>
      </c>
      <c r="I188" s="493">
        <v>0</v>
      </c>
      <c r="J188" s="493">
        <v>0</v>
      </c>
      <c r="K188" s="493">
        <v>0</v>
      </c>
    </row>
    <row r="189" spans="1:11" x14ac:dyDescent="0.25">
      <c r="A189" s="1070"/>
      <c r="B189" s="43" t="s">
        <v>687</v>
      </c>
      <c r="C189" s="501"/>
      <c r="D189" s="502"/>
      <c r="E189" s="503"/>
      <c r="F189" s="503"/>
      <c r="G189" s="504"/>
      <c r="H189" s="505"/>
      <c r="I189" s="505"/>
      <c r="J189" s="505"/>
      <c r="K189" s="505"/>
    </row>
    <row r="190" spans="1:11" x14ac:dyDescent="0.25">
      <c r="A190" s="1070"/>
      <c r="B190" s="154" t="s">
        <v>197</v>
      </c>
      <c r="C190" s="506">
        <v>158</v>
      </c>
      <c r="D190" s="507">
        <v>0</v>
      </c>
      <c r="E190" s="508">
        <v>158</v>
      </c>
      <c r="F190" s="508">
        <v>0</v>
      </c>
      <c r="G190" s="509">
        <v>0</v>
      </c>
      <c r="H190" s="508">
        <v>0</v>
      </c>
      <c r="I190" s="508">
        <v>0</v>
      </c>
      <c r="J190" s="508">
        <v>158</v>
      </c>
      <c r="K190" s="508">
        <v>0</v>
      </c>
    </row>
    <row r="191" spans="1:11" x14ac:dyDescent="0.25">
      <c r="A191" s="1070"/>
      <c r="B191" s="156" t="s">
        <v>688</v>
      </c>
      <c r="C191" s="518">
        <f>SUM(C190)</f>
        <v>158</v>
      </c>
      <c r="D191" s="519">
        <f t="shared" ref="D191:K191" si="20">SUM(D190)</f>
        <v>0</v>
      </c>
      <c r="E191" s="520">
        <f t="shared" si="20"/>
        <v>158</v>
      </c>
      <c r="F191" s="520">
        <f t="shared" si="20"/>
        <v>0</v>
      </c>
      <c r="G191" s="521">
        <f t="shared" si="20"/>
        <v>0</v>
      </c>
      <c r="H191" s="520">
        <f t="shared" si="20"/>
        <v>0</v>
      </c>
      <c r="I191" s="520">
        <f t="shared" si="20"/>
        <v>0</v>
      </c>
      <c r="J191" s="520">
        <f t="shared" si="20"/>
        <v>158</v>
      </c>
      <c r="K191" s="520">
        <f t="shared" si="20"/>
        <v>0</v>
      </c>
    </row>
    <row r="192" spans="1:11" s="178" customFormat="1" x14ac:dyDescent="0.25">
      <c r="A192" s="1070"/>
      <c r="B192" s="544"/>
      <c r="C192" s="545"/>
      <c r="D192" s="1067" t="s">
        <v>682</v>
      </c>
      <c r="E192" s="1068"/>
      <c r="F192" s="1068"/>
      <c r="G192" s="1069"/>
      <c r="H192" s="1066" t="s">
        <v>600</v>
      </c>
      <c r="I192" s="1066"/>
      <c r="J192" s="1066"/>
      <c r="K192" s="1066"/>
    </row>
    <row r="193" spans="1:11" s="178" customFormat="1" x14ac:dyDescent="0.25">
      <c r="A193" s="1070"/>
      <c r="B193" s="1066" t="s">
        <v>608</v>
      </c>
      <c r="C193" s="545"/>
      <c r="D193" s="546"/>
      <c r="E193" s="547"/>
      <c r="F193" s="547"/>
      <c r="G193" s="545"/>
      <c r="H193" s="548"/>
      <c r="I193" s="549"/>
      <c r="J193" s="549"/>
      <c r="K193" s="549"/>
    </row>
    <row r="194" spans="1:11" s="178" customFormat="1" ht="26.4" x14ac:dyDescent="0.25">
      <c r="A194" s="1070"/>
      <c r="B194" s="1066"/>
      <c r="C194" s="545" t="s">
        <v>683</v>
      </c>
      <c r="D194" s="546" t="s">
        <v>678</v>
      </c>
      <c r="E194" s="547" t="s">
        <v>679</v>
      </c>
      <c r="F194" s="547" t="s">
        <v>680</v>
      </c>
      <c r="G194" s="545" t="s">
        <v>681</v>
      </c>
      <c r="H194" s="548" t="s">
        <v>462</v>
      </c>
      <c r="I194" s="548" t="s">
        <v>463</v>
      </c>
      <c r="J194" s="549" t="s">
        <v>464</v>
      </c>
      <c r="K194" s="549" t="s">
        <v>202</v>
      </c>
    </row>
    <row r="195" spans="1:11" s="178" customFormat="1" x14ac:dyDescent="0.25">
      <c r="A195" s="1070"/>
      <c r="B195" s="1066"/>
      <c r="C195" s="545" t="s">
        <v>298</v>
      </c>
      <c r="D195" s="546" t="s">
        <v>298</v>
      </c>
      <c r="E195" s="547" t="s">
        <v>298</v>
      </c>
      <c r="F195" s="547" t="s">
        <v>298</v>
      </c>
      <c r="G195" s="545" t="s">
        <v>298</v>
      </c>
      <c r="H195" s="548" t="s">
        <v>298</v>
      </c>
      <c r="I195" s="549" t="s">
        <v>298</v>
      </c>
      <c r="J195" s="549" t="s">
        <v>353</v>
      </c>
      <c r="K195" s="549" t="s">
        <v>353</v>
      </c>
    </row>
    <row r="196" spans="1:11" s="178" customFormat="1" x14ac:dyDescent="0.25">
      <c r="A196" s="1070"/>
      <c r="B196" s="45"/>
      <c r="C196" s="188"/>
      <c r="D196" s="190"/>
      <c r="E196" s="153"/>
      <c r="F196" s="153"/>
      <c r="G196" s="191"/>
      <c r="H196" s="175"/>
      <c r="I196" s="175"/>
      <c r="J196" s="175"/>
      <c r="K196" s="175"/>
    </row>
    <row r="197" spans="1:11" x14ac:dyDescent="0.25">
      <c r="A197" s="1070"/>
      <c r="B197" s="116" t="s">
        <v>689</v>
      </c>
      <c r="C197" s="530">
        <v>0</v>
      </c>
      <c r="D197" s="531">
        <v>0</v>
      </c>
      <c r="E197" s="495">
        <v>0</v>
      </c>
      <c r="F197" s="495">
        <v>0</v>
      </c>
      <c r="G197" s="532">
        <v>0</v>
      </c>
      <c r="H197" s="495">
        <v>0</v>
      </c>
      <c r="I197" s="495">
        <v>0</v>
      </c>
      <c r="J197" s="495">
        <v>0</v>
      </c>
      <c r="K197" s="495">
        <v>0</v>
      </c>
    </row>
    <row r="198" spans="1:11" s="200" customFormat="1" x14ac:dyDescent="0.25">
      <c r="A198" s="1070"/>
      <c r="B198" s="45"/>
      <c r="C198" s="501"/>
      <c r="D198" s="502"/>
      <c r="E198" s="503"/>
      <c r="F198" s="503"/>
      <c r="G198" s="504"/>
      <c r="H198" s="505"/>
      <c r="I198" s="505"/>
      <c r="J198" s="505"/>
      <c r="K198" s="505"/>
    </row>
    <row r="199" spans="1:11" x14ac:dyDescent="0.25">
      <c r="A199" s="1070"/>
      <c r="B199" s="43" t="s">
        <v>690</v>
      </c>
      <c r="C199" s="501"/>
      <c r="D199" s="502"/>
      <c r="E199" s="503"/>
      <c r="F199" s="503"/>
      <c r="G199" s="504"/>
      <c r="H199" s="505"/>
      <c r="I199" s="505"/>
      <c r="J199" s="505"/>
      <c r="K199" s="505"/>
    </row>
    <row r="200" spans="1:11" x14ac:dyDescent="0.25">
      <c r="A200" s="1070"/>
      <c r="B200" s="101" t="s">
        <v>118</v>
      </c>
      <c r="C200" s="501">
        <v>319</v>
      </c>
      <c r="D200" s="502">
        <v>319</v>
      </c>
      <c r="E200" s="503">
        <v>0</v>
      </c>
      <c r="F200" s="503">
        <v>0</v>
      </c>
      <c r="G200" s="504">
        <v>0</v>
      </c>
      <c r="H200" s="503">
        <v>0</v>
      </c>
      <c r="I200" s="503">
        <v>0</v>
      </c>
      <c r="J200" s="503">
        <v>319</v>
      </c>
      <c r="K200" s="503">
        <v>0</v>
      </c>
    </row>
    <row r="201" spans="1:11" x14ac:dyDescent="0.25">
      <c r="A201" s="1070"/>
      <c r="B201" s="154" t="s">
        <v>282</v>
      </c>
      <c r="C201" s="506">
        <v>478</v>
      </c>
      <c r="D201" s="507">
        <v>0</v>
      </c>
      <c r="E201" s="508">
        <v>478</v>
      </c>
      <c r="F201" s="508">
        <v>0</v>
      </c>
      <c r="G201" s="509">
        <v>0</v>
      </c>
      <c r="H201" s="508">
        <v>0</v>
      </c>
      <c r="I201" s="508">
        <v>0</v>
      </c>
      <c r="J201" s="508">
        <v>478</v>
      </c>
      <c r="K201" s="508">
        <v>0</v>
      </c>
    </row>
    <row r="202" spans="1:11" x14ac:dyDescent="0.25">
      <c r="A202" s="1070"/>
      <c r="B202" s="116" t="s">
        <v>691</v>
      </c>
      <c r="C202" s="518">
        <f t="shared" ref="C202:K202" si="21">SUM(C200:C201)</f>
        <v>797</v>
      </c>
      <c r="D202" s="519">
        <f t="shared" si="21"/>
        <v>319</v>
      </c>
      <c r="E202" s="520">
        <f t="shared" si="21"/>
        <v>478</v>
      </c>
      <c r="F202" s="520">
        <f t="shared" si="21"/>
        <v>0</v>
      </c>
      <c r="G202" s="521">
        <f t="shared" si="21"/>
        <v>0</v>
      </c>
      <c r="H202" s="520">
        <f t="shared" si="21"/>
        <v>0</v>
      </c>
      <c r="I202" s="520">
        <f t="shared" si="21"/>
        <v>0</v>
      </c>
      <c r="J202" s="520">
        <f t="shared" si="21"/>
        <v>797</v>
      </c>
      <c r="K202" s="520">
        <f t="shared" si="21"/>
        <v>0</v>
      </c>
    </row>
    <row r="203" spans="1:11" x14ac:dyDescent="0.25">
      <c r="A203" s="1070"/>
      <c r="B203" s="45"/>
      <c r="C203" s="501"/>
      <c r="D203" s="502"/>
      <c r="E203" s="503"/>
      <c r="F203" s="503"/>
      <c r="G203" s="504"/>
      <c r="H203" s="505"/>
      <c r="I203" s="505"/>
      <c r="J203" s="505"/>
      <c r="K203" s="505"/>
    </row>
    <row r="204" spans="1:11" x14ac:dyDescent="0.25">
      <c r="A204" s="1070"/>
      <c r="B204" s="116" t="s">
        <v>693</v>
      </c>
      <c r="C204" s="530">
        <v>0</v>
      </c>
      <c r="D204" s="531">
        <v>0</v>
      </c>
      <c r="E204" s="495">
        <v>0</v>
      </c>
      <c r="F204" s="495">
        <v>0</v>
      </c>
      <c r="G204" s="532">
        <v>0</v>
      </c>
      <c r="H204" s="495">
        <v>0</v>
      </c>
      <c r="I204" s="495">
        <v>0</v>
      </c>
      <c r="J204" s="495">
        <v>0</v>
      </c>
      <c r="K204" s="495">
        <v>0</v>
      </c>
    </row>
    <row r="205" spans="1:11" x14ac:dyDescent="0.25">
      <c r="A205" s="1070"/>
      <c r="B205" s="45"/>
      <c r="C205" s="501"/>
      <c r="D205" s="502"/>
      <c r="E205" s="503"/>
      <c r="F205" s="503"/>
      <c r="G205" s="504"/>
      <c r="H205" s="505"/>
      <c r="I205" s="505"/>
      <c r="J205" s="505"/>
      <c r="K205" s="505"/>
    </row>
    <row r="206" spans="1:11" ht="13.8" x14ac:dyDescent="0.25">
      <c r="A206" s="1070"/>
      <c r="B206" s="155" t="s">
        <v>604</v>
      </c>
      <c r="C206" s="510">
        <f t="shared" ref="C206:K206" si="22">SUM(C202,C191,C188,C204)</f>
        <v>955</v>
      </c>
      <c r="D206" s="511">
        <f t="shared" si="22"/>
        <v>319</v>
      </c>
      <c r="E206" s="512">
        <f t="shared" si="22"/>
        <v>636</v>
      </c>
      <c r="F206" s="512">
        <f t="shared" si="22"/>
        <v>0</v>
      </c>
      <c r="G206" s="513">
        <f t="shared" si="22"/>
        <v>0</v>
      </c>
      <c r="H206" s="512">
        <f t="shared" si="22"/>
        <v>0</v>
      </c>
      <c r="I206" s="512">
        <f t="shared" si="22"/>
        <v>0</v>
      </c>
      <c r="J206" s="512">
        <f t="shared" si="22"/>
        <v>955</v>
      </c>
      <c r="K206" s="512">
        <f t="shared" si="22"/>
        <v>0</v>
      </c>
    </row>
    <row r="207" spans="1:11" x14ac:dyDescent="0.25">
      <c r="A207" s="1070"/>
      <c r="B207" s="45"/>
      <c r="C207" s="501"/>
      <c r="D207" s="502"/>
      <c r="E207" s="503"/>
      <c r="F207" s="503"/>
      <c r="G207" s="504"/>
      <c r="H207" s="505"/>
      <c r="I207" s="505"/>
      <c r="J207" s="505"/>
      <c r="K207" s="505"/>
    </row>
    <row r="208" spans="1:11" ht="13.8" x14ac:dyDescent="0.25">
      <c r="A208" s="1070"/>
      <c r="B208" s="106" t="s">
        <v>451</v>
      </c>
      <c r="C208" s="501"/>
      <c r="D208" s="502"/>
      <c r="E208" s="503"/>
      <c r="F208" s="503"/>
      <c r="G208" s="504"/>
      <c r="H208" s="505"/>
      <c r="I208" s="505"/>
      <c r="J208" s="505"/>
      <c r="K208" s="505"/>
    </row>
    <row r="209" spans="1:11" x14ac:dyDescent="0.25">
      <c r="A209" s="1070"/>
      <c r="B209" s="45"/>
      <c r="C209" s="501"/>
      <c r="D209" s="502"/>
      <c r="E209" s="503"/>
      <c r="F209" s="503"/>
      <c r="G209" s="504"/>
      <c r="H209" s="505"/>
      <c r="I209" s="505"/>
      <c r="J209" s="505"/>
      <c r="K209" s="505"/>
    </row>
    <row r="210" spans="1:11" x14ac:dyDescent="0.25">
      <c r="A210" s="1070"/>
      <c r="B210" s="43" t="s">
        <v>30</v>
      </c>
      <c r="C210" s="501"/>
      <c r="D210" s="502"/>
      <c r="E210" s="503"/>
      <c r="F210" s="503"/>
      <c r="G210" s="504"/>
      <c r="H210" s="505"/>
      <c r="I210" s="505"/>
      <c r="J210" s="505"/>
      <c r="K210" s="505"/>
    </row>
    <row r="211" spans="1:11" x14ac:dyDescent="0.25">
      <c r="A211" s="1070"/>
      <c r="B211" s="45" t="s">
        <v>287</v>
      </c>
      <c r="C211" s="501">
        <v>151</v>
      </c>
      <c r="D211" s="502">
        <v>0</v>
      </c>
      <c r="E211" s="503">
        <v>151</v>
      </c>
      <c r="F211" s="503">
        <v>0</v>
      </c>
      <c r="G211" s="504">
        <v>0</v>
      </c>
      <c r="H211" s="505">
        <v>0</v>
      </c>
      <c r="I211" s="505">
        <v>0</v>
      </c>
      <c r="J211" s="505">
        <v>151</v>
      </c>
      <c r="K211" s="505">
        <v>0</v>
      </c>
    </row>
    <row r="212" spans="1:11" x14ac:dyDescent="0.25">
      <c r="A212" s="1070"/>
      <c r="B212" s="45" t="s">
        <v>247</v>
      </c>
      <c r="C212" s="501">
        <v>60</v>
      </c>
      <c r="D212" s="502">
        <v>0</v>
      </c>
      <c r="E212" s="503">
        <v>60</v>
      </c>
      <c r="F212" s="503">
        <v>0</v>
      </c>
      <c r="G212" s="504">
        <v>0</v>
      </c>
      <c r="H212" s="505">
        <v>0</v>
      </c>
      <c r="I212" s="505">
        <v>0</v>
      </c>
      <c r="J212" s="505">
        <v>60</v>
      </c>
      <c r="K212" s="505">
        <v>0</v>
      </c>
    </row>
    <row r="213" spans="1:11" x14ac:dyDescent="0.25">
      <c r="A213" s="1070"/>
      <c r="B213" s="101" t="s">
        <v>289</v>
      </c>
      <c r="C213" s="501">
        <v>77</v>
      </c>
      <c r="D213" s="502">
        <v>0</v>
      </c>
      <c r="E213" s="503">
        <v>77</v>
      </c>
      <c r="F213" s="503">
        <v>0</v>
      </c>
      <c r="G213" s="504">
        <v>0</v>
      </c>
      <c r="H213" s="503">
        <v>0</v>
      </c>
      <c r="I213" s="503">
        <v>0</v>
      </c>
      <c r="J213" s="503">
        <v>77</v>
      </c>
      <c r="K213" s="503">
        <v>0</v>
      </c>
    </row>
    <row r="214" spans="1:11" x14ac:dyDescent="0.25">
      <c r="A214" s="1070"/>
      <c r="B214" s="154" t="s">
        <v>290</v>
      </c>
      <c r="C214" s="506">
        <v>129</v>
      </c>
      <c r="D214" s="507">
        <v>0</v>
      </c>
      <c r="E214" s="508">
        <v>0</v>
      </c>
      <c r="F214" s="508">
        <v>129</v>
      </c>
      <c r="G214" s="509">
        <v>0</v>
      </c>
      <c r="H214" s="508">
        <v>0</v>
      </c>
      <c r="I214" s="508">
        <v>0</v>
      </c>
      <c r="J214" s="508">
        <v>129</v>
      </c>
      <c r="K214" s="508">
        <v>0</v>
      </c>
    </row>
    <row r="215" spans="1:11" x14ac:dyDescent="0.25">
      <c r="A215" s="1070"/>
      <c r="B215" s="156" t="s">
        <v>265</v>
      </c>
      <c r="C215" s="518">
        <f>SUM(C211:C214)</f>
        <v>417</v>
      </c>
      <c r="D215" s="519">
        <f t="shared" ref="D215:K215" si="23">SUM(D211:D214)</f>
        <v>0</v>
      </c>
      <c r="E215" s="520">
        <f t="shared" si="23"/>
        <v>288</v>
      </c>
      <c r="F215" s="520">
        <f t="shared" si="23"/>
        <v>129</v>
      </c>
      <c r="G215" s="521">
        <f t="shared" si="23"/>
        <v>0</v>
      </c>
      <c r="H215" s="520">
        <f t="shared" si="23"/>
        <v>0</v>
      </c>
      <c r="I215" s="520">
        <f t="shared" si="23"/>
        <v>0</v>
      </c>
      <c r="J215" s="520">
        <f t="shared" si="23"/>
        <v>417</v>
      </c>
      <c r="K215" s="520">
        <f t="shared" si="23"/>
        <v>0</v>
      </c>
    </row>
    <row r="216" spans="1:11" x14ac:dyDescent="0.25">
      <c r="A216" s="1070"/>
      <c r="B216" s="45"/>
      <c r="C216" s="501"/>
      <c r="D216" s="502"/>
      <c r="E216" s="503"/>
      <c r="F216" s="503"/>
      <c r="G216" s="504"/>
      <c r="H216" s="505"/>
      <c r="I216" s="505"/>
      <c r="J216" s="505"/>
      <c r="K216" s="505"/>
    </row>
    <row r="217" spans="1:11" x14ac:dyDescent="0.25">
      <c r="A217" s="1070"/>
      <c r="B217" s="43" t="s">
        <v>452</v>
      </c>
      <c r="C217" s="501">
        <v>0</v>
      </c>
      <c r="D217" s="502">
        <v>0</v>
      </c>
      <c r="E217" s="503">
        <v>0</v>
      </c>
      <c r="F217" s="503">
        <v>0</v>
      </c>
      <c r="G217" s="504">
        <v>0</v>
      </c>
      <c r="H217" s="505">
        <v>0</v>
      </c>
      <c r="I217" s="505">
        <v>0</v>
      </c>
      <c r="J217" s="505">
        <v>0</v>
      </c>
      <c r="K217" s="505">
        <v>0</v>
      </c>
    </row>
    <row r="218" spans="1:11" x14ac:dyDescent="0.25">
      <c r="A218" s="1070"/>
      <c r="B218" s="45"/>
      <c r="C218" s="501"/>
      <c r="D218" s="502"/>
      <c r="E218" s="503"/>
      <c r="F218" s="503"/>
      <c r="G218" s="504"/>
      <c r="H218" s="505"/>
      <c r="I218" s="505"/>
      <c r="J218" s="505"/>
      <c r="K218" s="505"/>
    </row>
    <row r="219" spans="1:11" x14ac:dyDescent="0.25">
      <c r="A219" s="1070"/>
      <c r="B219" s="43" t="s">
        <v>697</v>
      </c>
      <c r="C219" s="501"/>
      <c r="D219" s="502"/>
      <c r="E219" s="503"/>
      <c r="F219" s="503"/>
      <c r="G219" s="504"/>
      <c r="H219" s="505"/>
      <c r="I219" s="505"/>
      <c r="J219" s="505"/>
      <c r="K219" s="505"/>
    </row>
    <row r="220" spans="1:11" x14ac:dyDescent="0.25">
      <c r="A220" s="1070"/>
      <c r="B220" s="45" t="s">
        <v>243</v>
      </c>
      <c r="C220" s="501">
        <v>63</v>
      </c>
      <c r="D220" s="502">
        <v>0</v>
      </c>
      <c r="E220" s="503">
        <v>63</v>
      </c>
      <c r="F220" s="503">
        <v>0</v>
      </c>
      <c r="G220" s="504">
        <v>0</v>
      </c>
      <c r="H220" s="505">
        <v>0</v>
      </c>
      <c r="I220" s="505">
        <v>0</v>
      </c>
      <c r="J220" s="505">
        <v>63</v>
      </c>
      <c r="K220" s="505">
        <v>0</v>
      </c>
    </row>
    <row r="221" spans="1:11" x14ac:dyDescent="0.25">
      <c r="A221" s="1070"/>
      <c r="B221" s="154" t="s">
        <v>244</v>
      </c>
      <c r="C221" s="506">
        <v>271</v>
      </c>
      <c r="D221" s="507">
        <v>0</v>
      </c>
      <c r="E221" s="508">
        <v>271</v>
      </c>
      <c r="F221" s="508">
        <v>0</v>
      </c>
      <c r="G221" s="509">
        <v>0</v>
      </c>
      <c r="H221" s="508">
        <v>161</v>
      </c>
      <c r="I221" s="508">
        <v>0</v>
      </c>
      <c r="J221" s="508">
        <v>110</v>
      </c>
      <c r="K221" s="508">
        <v>0</v>
      </c>
    </row>
    <row r="222" spans="1:11" x14ac:dyDescent="0.25">
      <c r="A222" s="1070"/>
      <c r="B222" s="156" t="s">
        <v>698</v>
      </c>
      <c r="C222" s="518">
        <f>SUM(C220:C221)</f>
        <v>334</v>
      </c>
      <c r="D222" s="519">
        <f t="shared" ref="D222:K222" si="24">SUM(D220:D221)</f>
        <v>0</v>
      </c>
      <c r="E222" s="520">
        <f t="shared" si="24"/>
        <v>334</v>
      </c>
      <c r="F222" s="520">
        <f t="shared" si="24"/>
        <v>0</v>
      </c>
      <c r="G222" s="521">
        <f t="shared" si="24"/>
        <v>0</v>
      </c>
      <c r="H222" s="520">
        <f t="shared" si="24"/>
        <v>161</v>
      </c>
      <c r="I222" s="520">
        <f t="shared" si="24"/>
        <v>0</v>
      </c>
      <c r="J222" s="520">
        <f t="shared" si="24"/>
        <v>173</v>
      </c>
      <c r="K222" s="520">
        <f t="shared" si="24"/>
        <v>0</v>
      </c>
    </row>
    <row r="223" spans="1:11" x14ac:dyDescent="0.25">
      <c r="A223" s="1070"/>
      <c r="B223" s="45"/>
      <c r="C223" s="501"/>
      <c r="D223" s="502"/>
      <c r="E223" s="503"/>
      <c r="F223" s="503"/>
      <c r="G223" s="504"/>
      <c r="H223" s="505"/>
      <c r="I223" s="505"/>
      <c r="J223" s="505"/>
      <c r="K223" s="505"/>
    </row>
    <row r="224" spans="1:11" x14ac:dyDescent="0.25">
      <c r="A224" s="1070"/>
      <c r="B224" s="43" t="s">
        <v>363</v>
      </c>
      <c r="C224" s="501"/>
      <c r="D224" s="502"/>
      <c r="E224" s="503"/>
      <c r="F224" s="503"/>
      <c r="G224" s="504"/>
      <c r="H224" s="505"/>
      <c r="I224" s="505"/>
      <c r="J224" s="505"/>
      <c r="K224" s="505"/>
    </row>
    <row r="225" spans="1:11" x14ac:dyDescent="0.25">
      <c r="A225" s="1070"/>
      <c r="B225" s="45" t="s">
        <v>605</v>
      </c>
      <c r="C225" s="501">
        <v>37</v>
      </c>
      <c r="D225" s="502">
        <v>0</v>
      </c>
      <c r="E225" s="503">
        <v>37</v>
      </c>
      <c r="F225" s="503">
        <v>0</v>
      </c>
      <c r="G225" s="504">
        <v>0</v>
      </c>
      <c r="H225" s="505">
        <v>0</v>
      </c>
      <c r="I225" s="505">
        <v>0</v>
      </c>
      <c r="J225" s="505">
        <v>37</v>
      </c>
      <c r="K225" s="505">
        <v>0</v>
      </c>
    </row>
    <row r="226" spans="1:11" x14ac:dyDescent="0.25">
      <c r="A226" s="1070"/>
      <c r="B226" s="101" t="s">
        <v>194</v>
      </c>
      <c r="C226" s="501">
        <v>150</v>
      </c>
      <c r="D226" s="502">
        <v>0</v>
      </c>
      <c r="E226" s="503">
        <v>150</v>
      </c>
      <c r="F226" s="503">
        <v>0</v>
      </c>
      <c r="G226" s="504">
        <v>0</v>
      </c>
      <c r="H226" s="503">
        <v>130</v>
      </c>
      <c r="I226" s="503">
        <v>0</v>
      </c>
      <c r="J226" s="503">
        <v>20</v>
      </c>
      <c r="K226" s="503">
        <v>0</v>
      </c>
    </row>
    <row r="227" spans="1:11" x14ac:dyDescent="0.25">
      <c r="A227" s="1070"/>
      <c r="B227" s="154" t="s">
        <v>291</v>
      </c>
      <c r="C227" s="506">
        <v>48</v>
      </c>
      <c r="D227" s="507">
        <v>0</v>
      </c>
      <c r="E227" s="508">
        <v>0</v>
      </c>
      <c r="F227" s="508">
        <v>48</v>
      </c>
      <c r="G227" s="509">
        <v>0</v>
      </c>
      <c r="H227" s="508">
        <v>0</v>
      </c>
      <c r="I227" s="508">
        <v>0</v>
      </c>
      <c r="J227" s="508">
        <v>48</v>
      </c>
      <c r="K227" s="508">
        <v>0</v>
      </c>
    </row>
    <row r="228" spans="1:11" x14ac:dyDescent="0.25">
      <c r="A228" s="1070"/>
      <c r="B228" s="156" t="s">
        <v>699</v>
      </c>
      <c r="C228" s="518">
        <f>SUM(C225:C227)</f>
        <v>235</v>
      </c>
      <c r="D228" s="519">
        <f t="shared" ref="D228:K228" si="25">SUM(D225:D227)</f>
        <v>0</v>
      </c>
      <c r="E228" s="520">
        <f t="shared" si="25"/>
        <v>187</v>
      </c>
      <c r="F228" s="520">
        <f t="shared" si="25"/>
        <v>48</v>
      </c>
      <c r="G228" s="521">
        <f t="shared" si="25"/>
        <v>0</v>
      </c>
      <c r="H228" s="520">
        <f t="shared" si="25"/>
        <v>130</v>
      </c>
      <c r="I228" s="520">
        <f t="shared" si="25"/>
        <v>0</v>
      </c>
      <c r="J228" s="520">
        <f t="shared" si="25"/>
        <v>105</v>
      </c>
      <c r="K228" s="520">
        <f t="shared" si="25"/>
        <v>0</v>
      </c>
    </row>
    <row r="229" spans="1:11" x14ac:dyDescent="0.25">
      <c r="A229" s="1070"/>
      <c r="B229" s="544"/>
      <c r="C229" s="545"/>
      <c r="D229" s="1067" t="s">
        <v>682</v>
      </c>
      <c r="E229" s="1068"/>
      <c r="F229" s="1068"/>
      <c r="G229" s="1069"/>
      <c r="H229" s="1066" t="s">
        <v>600</v>
      </c>
      <c r="I229" s="1066"/>
      <c r="J229" s="1066"/>
      <c r="K229" s="1066"/>
    </row>
    <row r="230" spans="1:11" x14ac:dyDescent="0.25">
      <c r="A230" s="1070"/>
      <c r="B230" s="1066" t="s">
        <v>608</v>
      </c>
      <c r="C230" s="545"/>
      <c r="D230" s="546"/>
      <c r="E230" s="547"/>
      <c r="F230" s="547"/>
      <c r="G230" s="545"/>
      <c r="H230" s="548"/>
      <c r="I230" s="549"/>
      <c r="J230" s="549"/>
      <c r="K230" s="549"/>
    </row>
    <row r="231" spans="1:11" ht="26.4" x14ac:dyDescent="0.25">
      <c r="A231" s="1070"/>
      <c r="B231" s="1066"/>
      <c r="C231" s="545" t="s">
        <v>683</v>
      </c>
      <c r="D231" s="546" t="s">
        <v>678</v>
      </c>
      <c r="E231" s="547" t="s">
        <v>679</v>
      </c>
      <c r="F231" s="547" t="s">
        <v>680</v>
      </c>
      <c r="G231" s="545" t="s">
        <v>681</v>
      </c>
      <c r="H231" s="548" t="s">
        <v>462</v>
      </c>
      <c r="I231" s="548" t="s">
        <v>463</v>
      </c>
      <c r="J231" s="549" t="s">
        <v>464</v>
      </c>
      <c r="K231" s="549" t="s">
        <v>202</v>
      </c>
    </row>
    <row r="232" spans="1:11" x14ac:dyDescent="0.25">
      <c r="A232" s="1070"/>
      <c r="B232" s="1066"/>
      <c r="C232" s="545" t="s">
        <v>298</v>
      </c>
      <c r="D232" s="546" t="s">
        <v>298</v>
      </c>
      <c r="E232" s="547" t="s">
        <v>298</v>
      </c>
      <c r="F232" s="547" t="s">
        <v>298</v>
      </c>
      <c r="G232" s="545" t="s">
        <v>298</v>
      </c>
      <c r="H232" s="548" t="s">
        <v>298</v>
      </c>
      <c r="I232" s="549" t="s">
        <v>298</v>
      </c>
      <c r="J232" s="549" t="s">
        <v>353</v>
      </c>
      <c r="K232" s="549" t="s">
        <v>353</v>
      </c>
    </row>
    <row r="233" spans="1:11" s="178" customFormat="1" x14ac:dyDescent="0.25">
      <c r="A233" s="1070"/>
      <c r="B233" s="45"/>
      <c r="C233" s="188"/>
      <c r="D233" s="190"/>
      <c r="E233" s="153"/>
      <c r="F233" s="153"/>
      <c r="G233" s="191"/>
      <c r="H233" s="175"/>
      <c r="I233" s="175"/>
      <c r="J233" s="175"/>
      <c r="K233" s="175"/>
    </row>
    <row r="234" spans="1:11" ht="26.4" x14ac:dyDescent="0.25">
      <c r="A234" s="1070"/>
      <c r="B234" s="43" t="s">
        <v>700</v>
      </c>
      <c r="C234" s="188"/>
      <c r="D234" s="190"/>
      <c r="E234" s="153"/>
      <c r="F234" s="153"/>
      <c r="G234" s="191"/>
      <c r="H234" s="108"/>
      <c r="I234" s="108"/>
      <c r="J234" s="108"/>
      <c r="K234" s="108"/>
    </row>
    <row r="235" spans="1:11" x14ac:dyDescent="0.25">
      <c r="A235" s="1070"/>
      <c r="B235" s="154" t="s">
        <v>272</v>
      </c>
      <c r="C235" s="506">
        <v>10</v>
      </c>
      <c r="D235" s="507">
        <v>10</v>
      </c>
      <c r="E235" s="508">
        <v>0</v>
      </c>
      <c r="F235" s="508">
        <v>0</v>
      </c>
      <c r="G235" s="509">
        <v>0</v>
      </c>
      <c r="H235" s="508">
        <v>0</v>
      </c>
      <c r="I235" s="508">
        <v>0</v>
      </c>
      <c r="J235" s="508">
        <v>10</v>
      </c>
      <c r="K235" s="508">
        <v>0</v>
      </c>
    </row>
    <row r="236" spans="1:11" ht="26.4" x14ac:dyDescent="0.25">
      <c r="A236" s="1070"/>
      <c r="B236" s="156" t="s">
        <v>1418</v>
      </c>
      <c r="C236" s="518">
        <f>SUM(C235)</f>
        <v>10</v>
      </c>
      <c r="D236" s="519">
        <f t="shared" ref="D236:K236" si="26">SUM(D235)</f>
        <v>10</v>
      </c>
      <c r="E236" s="520">
        <f t="shared" si="26"/>
        <v>0</v>
      </c>
      <c r="F236" s="520">
        <f t="shared" si="26"/>
        <v>0</v>
      </c>
      <c r="G236" s="521">
        <f t="shared" si="26"/>
        <v>0</v>
      </c>
      <c r="H236" s="520">
        <f t="shared" si="26"/>
        <v>0</v>
      </c>
      <c r="I236" s="520">
        <f t="shared" si="26"/>
        <v>0</v>
      </c>
      <c r="J236" s="520">
        <f t="shared" si="26"/>
        <v>10</v>
      </c>
      <c r="K236" s="520">
        <f t="shared" si="26"/>
        <v>0</v>
      </c>
    </row>
    <row r="237" spans="1:11" x14ac:dyDescent="0.25">
      <c r="A237" s="1070"/>
      <c r="C237" s="514"/>
      <c r="D237" s="522"/>
      <c r="E237" s="523"/>
      <c r="F237" s="523"/>
      <c r="G237" s="524"/>
      <c r="H237" s="399"/>
      <c r="I237" s="399"/>
      <c r="J237" s="399"/>
      <c r="K237" s="399"/>
    </row>
    <row r="238" spans="1:11" x14ac:dyDescent="0.25">
      <c r="A238" s="1070"/>
      <c r="B238" s="43" t="s">
        <v>707</v>
      </c>
      <c r="C238" s="501">
        <v>0</v>
      </c>
      <c r="D238" s="502">
        <v>0</v>
      </c>
      <c r="E238" s="503">
        <v>0</v>
      </c>
      <c r="F238" s="503">
        <v>0</v>
      </c>
      <c r="G238" s="504">
        <v>0</v>
      </c>
      <c r="H238" s="505">
        <v>0</v>
      </c>
      <c r="I238" s="505">
        <v>0</v>
      </c>
      <c r="J238" s="505">
        <v>0</v>
      </c>
      <c r="K238" s="505">
        <v>0</v>
      </c>
    </row>
    <row r="239" spans="1:11" x14ac:dyDescent="0.25">
      <c r="A239" s="1070"/>
      <c r="B239" s="45"/>
      <c r="C239" s="501"/>
      <c r="D239" s="502"/>
      <c r="E239" s="503"/>
      <c r="F239" s="503"/>
      <c r="G239" s="504"/>
      <c r="H239" s="505"/>
      <c r="I239" s="505"/>
      <c r="J239" s="505"/>
      <c r="K239" s="505"/>
    </row>
    <row r="240" spans="1:11" x14ac:dyDescent="0.25">
      <c r="A240" s="1070"/>
      <c r="B240" s="43" t="s">
        <v>701</v>
      </c>
      <c r="C240" s="501"/>
      <c r="D240" s="502"/>
      <c r="E240" s="503"/>
      <c r="F240" s="503"/>
      <c r="G240" s="504"/>
      <c r="H240" s="505"/>
      <c r="I240" s="505"/>
      <c r="J240" s="505"/>
      <c r="K240" s="505"/>
    </row>
    <row r="241" spans="1:11" x14ac:dyDescent="0.25">
      <c r="A241" s="1070"/>
      <c r="B241" s="154" t="s">
        <v>269</v>
      </c>
      <c r="C241" s="506">
        <v>50</v>
      </c>
      <c r="D241" s="507">
        <v>0</v>
      </c>
      <c r="E241" s="508">
        <v>50</v>
      </c>
      <c r="F241" s="508">
        <v>0</v>
      </c>
      <c r="G241" s="509">
        <v>0</v>
      </c>
      <c r="H241" s="508">
        <v>0</v>
      </c>
      <c r="I241" s="508">
        <v>0</v>
      </c>
      <c r="J241" s="508">
        <v>50</v>
      </c>
      <c r="K241" s="508">
        <v>0</v>
      </c>
    </row>
    <row r="242" spans="1:11" x14ac:dyDescent="0.25">
      <c r="A242" s="1070"/>
      <c r="B242" s="156" t="s">
        <v>702</v>
      </c>
      <c r="C242" s="518">
        <f>SUM(C241)</f>
        <v>50</v>
      </c>
      <c r="D242" s="533">
        <f t="shared" ref="D242:K242" si="27">SUM(D241)</f>
        <v>0</v>
      </c>
      <c r="E242" s="534">
        <f t="shared" si="27"/>
        <v>50</v>
      </c>
      <c r="F242" s="534">
        <f t="shared" si="27"/>
        <v>0</v>
      </c>
      <c r="G242" s="518">
        <f t="shared" si="27"/>
        <v>0</v>
      </c>
      <c r="H242" s="534">
        <f t="shared" si="27"/>
        <v>0</v>
      </c>
      <c r="I242" s="534">
        <f t="shared" si="27"/>
        <v>0</v>
      </c>
      <c r="J242" s="534">
        <f t="shared" si="27"/>
        <v>50</v>
      </c>
      <c r="K242" s="534">
        <f t="shared" si="27"/>
        <v>0</v>
      </c>
    </row>
    <row r="243" spans="1:11" x14ac:dyDescent="0.25">
      <c r="A243" s="1070"/>
      <c r="B243" s="45"/>
      <c r="C243" s="501"/>
      <c r="D243" s="502"/>
      <c r="E243" s="503"/>
      <c r="F243" s="503"/>
      <c r="G243" s="504"/>
      <c r="H243" s="505"/>
      <c r="I243" s="505"/>
      <c r="J243" s="505"/>
      <c r="K243" s="505"/>
    </row>
    <row r="244" spans="1:11" s="200" customFormat="1" x14ac:dyDescent="0.25">
      <c r="A244" s="1070"/>
      <c r="B244" s="43" t="s">
        <v>578</v>
      </c>
      <c r="C244" s="501">
        <v>0</v>
      </c>
      <c r="D244" s="502">
        <v>0</v>
      </c>
      <c r="E244" s="503">
        <v>0</v>
      </c>
      <c r="F244" s="503">
        <v>0</v>
      </c>
      <c r="G244" s="504">
        <v>0</v>
      </c>
      <c r="H244" s="505">
        <v>0</v>
      </c>
      <c r="I244" s="505">
        <v>0</v>
      </c>
      <c r="J244" s="505">
        <v>0</v>
      </c>
      <c r="K244" s="505">
        <v>0</v>
      </c>
    </row>
    <row r="245" spans="1:11" s="200" customFormat="1" x14ac:dyDescent="0.25">
      <c r="A245" s="1070"/>
      <c r="B245" s="45"/>
      <c r="C245" s="501"/>
      <c r="D245" s="502"/>
      <c r="E245" s="503"/>
      <c r="F245" s="503"/>
      <c r="G245" s="504"/>
      <c r="H245" s="505"/>
      <c r="I245" s="505"/>
      <c r="J245" s="505"/>
      <c r="K245" s="505"/>
    </row>
    <row r="246" spans="1:11" x14ac:dyDescent="0.25">
      <c r="A246" s="1070"/>
      <c r="B246" s="43" t="s">
        <v>703</v>
      </c>
      <c r="C246" s="501"/>
      <c r="D246" s="502"/>
      <c r="E246" s="503"/>
      <c r="F246" s="503"/>
      <c r="G246" s="504"/>
      <c r="H246" s="505"/>
      <c r="I246" s="505"/>
      <c r="J246" s="505"/>
      <c r="K246" s="505"/>
    </row>
    <row r="247" spans="1:11" x14ac:dyDescent="0.25">
      <c r="A247" s="1070"/>
      <c r="B247" s="154" t="s">
        <v>288</v>
      </c>
      <c r="C247" s="506">
        <v>35</v>
      </c>
      <c r="D247" s="507">
        <v>0</v>
      </c>
      <c r="E247" s="508">
        <v>35</v>
      </c>
      <c r="F247" s="508">
        <v>0</v>
      </c>
      <c r="G247" s="509">
        <v>0</v>
      </c>
      <c r="H247" s="508">
        <v>0</v>
      </c>
      <c r="I247" s="508">
        <v>0</v>
      </c>
      <c r="J247" s="508">
        <v>35</v>
      </c>
      <c r="K247" s="508">
        <v>0</v>
      </c>
    </row>
    <row r="248" spans="1:11" x14ac:dyDescent="0.25">
      <c r="A248" s="1070"/>
      <c r="B248" s="156" t="s">
        <v>704</v>
      </c>
      <c r="C248" s="518">
        <f>SUM(C247)</f>
        <v>35</v>
      </c>
      <c r="D248" s="519">
        <f t="shared" ref="D248:K248" si="28">SUM(D247)</f>
        <v>0</v>
      </c>
      <c r="E248" s="520">
        <f t="shared" si="28"/>
        <v>35</v>
      </c>
      <c r="F248" s="520">
        <f t="shared" si="28"/>
        <v>0</v>
      </c>
      <c r="G248" s="521">
        <f t="shared" si="28"/>
        <v>0</v>
      </c>
      <c r="H248" s="520">
        <f t="shared" si="28"/>
        <v>0</v>
      </c>
      <c r="I248" s="520">
        <f t="shared" si="28"/>
        <v>0</v>
      </c>
      <c r="J248" s="520">
        <f t="shared" si="28"/>
        <v>35</v>
      </c>
      <c r="K248" s="520">
        <f t="shared" si="28"/>
        <v>0</v>
      </c>
    </row>
    <row r="249" spans="1:11" x14ac:dyDescent="0.25">
      <c r="A249" s="1070"/>
      <c r="B249" s="45"/>
      <c r="C249" s="501"/>
      <c r="D249" s="502"/>
      <c r="E249" s="503"/>
      <c r="F249" s="503"/>
      <c r="G249" s="504"/>
      <c r="H249" s="505"/>
      <c r="I249" s="505"/>
      <c r="J249" s="505"/>
      <c r="K249" s="505"/>
    </row>
    <row r="250" spans="1:11" x14ac:dyDescent="0.25">
      <c r="A250" s="1070"/>
      <c r="B250" s="43" t="s">
        <v>705</v>
      </c>
      <c r="C250" s="501"/>
      <c r="D250" s="502"/>
      <c r="E250" s="503"/>
      <c r="F250" s="503"/>
      <c r="G250" s="504"/>
      <c r="H250" s="505"/>
      <c r="I250" s="505"/>
      <c r="J250" s="505"/>
      <c r="K250" s="505"/>
    </row>
    <row r="251" spans="1:11" x14ac:dyDescent="0.25">
      <c r="A251" s="1070"/>
      <c r="B251" s="154" t="s">
        <v>292</v>
      </c>
      <c r="C251" s="506">
        <v>35</v>
      </c>
      <c r="D251" s="507">
        <v>35</v>
      </c>
      <c r="E251" s="508">
        <v>0</v>
      </c>
      <c r="F251" s="508">
        <v>0</v>
      </c>
      <c r="G251" s="509">
        <v>0</v>
      </c>
      <c r="H251" s="508">
        <v>0</v>
      </c>
      <c r="I251" s="508">
        <v>0</v>
      </c>
      <c r="J251" s="508">
        <v>35</v>
      </c>
      <c r="K251" s="508">
        <v>0</v>
      </c>
    </row>
    <row r="252" spans="1:11" x14ac:dyDescent="0.25">
      <c r="A252" s="1070"/>
      <c r="B252" s="156" t="s">
        <v>706</v>
      </c>
      <c r="C252" s="518">
        <f>SUM(C251)</f>
        <v>35</v>
      </c>
      <c r="D252" s="519">
        <f t="shared" ref="D252:K252" si="29">SUM(D251)</f>
        <v>35</v>
      </c>
      <c r="E252" s="520">
        <f t="shared" si="29"/>
        <v>0</v>
      </c>
      <c r="F252" s="520">
        <f t="shared" si="29"/>
        <v>0</v>
      </c>
      <c r="G252" s="521">
        <f t="shared" si="29"/>
        <v>0</v>
      </c>
      <c r="H252" s="520">
        <f t="shared" si="29"/>
        <v>0</v>
      </c>
      <c r="I252" s="520">
        <f t="shared" si="29"/>
        <v>0</v>
      </c>
      <c r="J252" s="520">
        <f t="shared" si="29"/>
        <v>35</v>
      </c>
      <c r="K252" s="520">
        <f t="shared" si="29"/>
        <v>0</v>
      </c>
    </row>
    <row r="253" spans="1:11" x14ac:dyDescent="0.25">
      <c r="A253" s="1070"/>
      <c r="B253" s="43"/>
      <c r="C253" s="501"/>
      <c r="D253" s="502"/>
      <c r="E253" s="503"/>
      <c r="F253" s="503"/>
      <c r="G253" s="504"/>
      <c r="H253" s="505"/>
      <c r="I253" s="505"/>
      <c r="J253" s="505"/>
      <c r="K253" s="505"/>
    </row>
    <row r="254" spans="1:11" ht="13.8" x14ac:dyDescent="0.25">
      <c r="A254" s="1070"/>
      <c r="B254" s="155" t="s">
        <v>607</v>
      </c>
      <c r="C254" s="510">
        <f t="shared" ref="C254:K254" si="30">SUM(,C215,C217,C222,C228,C236,C238,C242,C248,C252)</f>
        <v>1116</v>
      </c>
      <c r="D254" s="511">
        <f t="shared" si="30"/>
        <v>45</v>
      </c>
      <c r="E254" s="512">
        <f t="shared" si="30"/>
        <v>894</v>
      </c>
      <c r="F254" s="512">
        <f t="shared" si="30"/>
        <v>177</v>
      </c>
      <c r="G254" s="513">
        <f t="shared" si="30"/>
        <v>0</v>
      </c>
      <c r="H254" s="512">
        <f t="shared" si="30"/>
        <v>291</v>
      </c>
      <c r="I254" s="512">
        <f t="shared" si="30"/>
        <v>0</v>
      </c>
      <c r="J254" s="512">
        <f t="shared" si="30"/>
        <v>825</v>
      </c>
      <c r="K254" s="512">
        <f t="shared" si="30"/>
        <v>0</v>
      </c>
    </row>
    <row r="255" spans="1:11" ht="15.6" x14ac:dyDescent="0.25">
      <c r="A255" s="1070"/>
      <c r="B255" s="157"/>
      <c r="C255" s="525"/>
      <c r="D255" s="526"/>
      <c r="E255" s="527"/>
      <c r="F255" s="527"/>
      <c r="G255" s="528"/>
      <c r="H255" s="527"/>
      <c r="I255" s="527"/>
      <c r="J255" s="527"/>
      <c r="K255" s="527"/>
    </row>
    <row r="256" spans="1:11" ht="27.6" x14ac:dyDescent="0.25">
      <c r="A256" s="1070"/>
      <c r="B256" s="155" t="s">
        <v>1351</v>
      </c>
      <c r="C256" s="510">
        <f t="shared" ref="C256:K256" si="31">SUM(C254,C206,C184,C244)</f>
        <v>7125</v>
      </c>
      <c r="D256" s="511">
        <f t="shared" si="31"/>
        <v>1116</v>
      </c>
      <c r="E256" s="512">
        <f t="shared" si="31"/>
        <v>2832</v>
      </c>
      <c r="F256" s="512">
        <f t="shared" si="31"/>
        <v>177</v>
      </c>
      <c r="G256" s="513">
        <f t="shared" si="31"/>
        <v>3000</v>
      </c>
      <c r="H256" s="512">
        <f t="shared" si="31"/>
        <v>461</v>
      </c>
      <c r="I256" s="512">
        <f t="shared" si="31"/>
        <v>0</v>
      </c>
      <c r="J256" s="512">
        <f t="shared" si="31"/>
        <v>6664</v>
      </c>
      <c r="K256" s="512">
        <f t="shared" si="31"/>
        <v>0</v>
      </c>
    </row>
    <row r="257" spans="1:11" x14ac:dyDescent="0.25">
      <c r="A257" s="1070"/>
      <c r="B257" s="45"/>
      <c r="C257" s="87"/>
      <c r="D257" s="44"/>
      <c r="E257" s="44"/>
      <c r="F257" s="44"/>
      <c r="G257" s="44"/>
      <c r="H257" s="44"/>
      <c r="I257" s="44"/>
      <c r="J257" s="44"/>
      <c r="K257" s="44"/>
    </row>
    <row r="258" spans="1:11" x14ac:dyDescent="0.25">
      <c r="A258" s="1070"/>
      <c r="B258" s="544"/>
      <c r="C258" s="545"/>
      <c r="D258" s="1067" t="s">
        <v>682</v>
      </c>
      <c r="E258" s="1068"/>
      <c r="F258" s="1068"/>
      <c r="G258" s="1069"/>
      <c r="H258" s="1066" t="s">
        <v>600</v>
      </c>
      <c r="I258" s="1066"/>
      <c r="J258" s="1066"/>
      <c r="K258" s="1066"/>
    </row>
    <row r="259" spans="1:11" x14ac:dyDescent="0.25">
      <c r="A259" s="1070"/>
      <c r="B259" s="544"/>
      <c r="C259" s="545"/>
      <c r="D259" s="546"/>
      <c r="E259" s="547"/>
      <c r="F259" s="547"/>
      <c r="G259" s="545"/>
      <c r="H259" s="548"/>
      <c r="I259" s="549"/>
      <c r="J259" s="549"/>
      <c r="K259" s="549"/>
    </row>
    <row r="260" spans="1:11" ht="26.4" x14ac:dyDescent="0.25">
      <c r="A260" s="1070"/>
      <c r="B260" s="544" t="s">
        <v>240</v>
      </c>
      <c r="C260" s="545" t="s">
        <v>683</v>
      </c>
      <c r="D260" s="546" t="s">
        <v>678</v>
      </c>
      <c r="E260" s="547" t="s">
        <v>679</v>
      </c>
      <c r="F260" s="547" t="s">
        <v>680</v>
      </c>
      <c r="G260" s="545" t="s">
        <v>681</v>
      </c>
      <c r="H260" s="548" t="s">
        <v>462</v>
      </c>
      <c r="I260" s="548" t="s">
        <v>463</v>
      </c>
      <c r="J260" s="549" t="s">
        <v>464</v>
      </c>
      <c r="K260" s="549" t="s">
        <v>202</v>
      </c>
    </row>
    <row r="261" spans="1:11" x14ac:dyDescent="0.25">
      <c r="A261" s="1070"/>
      <c r="B261" s="550"/>
      <c r="C261" s="545" t="s">
        <v>298</v>
      </c>
      <c r="D261" s="546" t="s">
        <v>298</v>
      </c>
      <c r="E261" s="547" t="s">
        <v>298</v>
      </c>
      <c r="F261" s="547" t="s">
        <v>298</v>
      </c>
      <c r="G261" s="545" t="s">
        <v>298</v>
      </c>
      <c r="H261" s="548" t="s">
        <v>298</v>
      </c>
      <c r="I261" s="549" t="s">
        <v>298</v>
      </c>
      <c r="J261" s="549" t="s">
        <v>353</v>
      </c>
      <c r="K261" s="549" t="s">
        <v>353</v>
      </c>
    </row>
    <row r="262" spans="1:11" x14ac:dyDescent="0.25">
      <c r="A262" s="1070"/>
      <c r="B262" s="101"/>
      <c r="C262" s="867"/>
      <c r="D262" s="97"/>
      <c r="E262" s="97"/>
      <c r="F262" s="97"/>
      <c r="G262" s="868"/>
      <c r="H262" s="111"/>
      <c r="I262" s="111"/>
      <c r="J262" s="97"/>
      <c r="K262" s="111"/>
    </row>
    <row r="263" spans="1:11" x14ac:dyDescent="0.25">
      <c r="A263" s="1070"/>
      <c r="B263" s="96" t="s">
        <v>1026</v>
      </c>
      <c r="C263" s="867"/>
      <c r="D263" s="97"/>
      <c r="E263" s="97"/>
      <c r="F263" s="97"/>
      <c r="G263" s="868"/>
      <c r="H263" s="111"/>
      <c r="I263" s="111"/>
      <c r="J263" s="97"/>
      <c r="K263" s="111"/>
    </row>
    <row r="264" spans="1:11" ht="13.8" x14ac:dyDescent="0.25">
      <c r="A264" s="1070"/>
      <c r="B264" s="182" t="s">
        <v>442</v>
      </c>
      <c r="C264" s="535">
        <f t="shared" ref="C264:K264" si="32">C42+C184</f>
        <v>13485</v>
      </c>
      <c r="D264" s="537">
        <f t="shared" si="32"/>
        <v>6159</v>
      </c>
      <c r="E264" s="537">
        <f t="shared" si="32"/>
        <v>4326</v>
      </c>
      <c r="F264" s="537">
        <f t="shared" si="32"/>
        <v>0</v>
      </c>
      <c r="G264" s="538">
        <f t="shared" si="32"/>
        <v>3000</v>
      </c>
      <c r="H264" s="539">
        <f t="shared" si="32"/>
        <v>4278</v>
      </c>
      <c r="I264" s="539">
        <f t="shared" si="32"/>
        <v>0</v>
      </c>
      <c r="J264" s="539">
        <f t="shared" si="32"/>
        <v>9207</v>
      </c>
      <c r="K264" s="539">
        <f t="shared" si="32"/>
        <v>0</v>
      </c>
    </row>
    <row r="265" spans="1:11" ht="13.8" x14ac:dyDescent="0.25">
      <c r="A265" s="1070"/>
      <c r="B265" s="182" t="s">
        <v>446</v>
      </c>
      <c r="C265" s="535">
        <f t="shared" ref="C265:K265" si="33">C69+C206</f>
        <v>5791</v>
      </c>
      <c r="D265" s="536">
        <f t="shared" si="33"/>
        <v>1933</v>
      </c>
      <c r="E265" s="537">
        <f t="shared" si="33"/>
        <v>3858</v>
      </c>
      <c r="F265" s="537">
        <f t="shared" si="33"/>
        <v>0</v>
      </c>
      <c r="G265" s="538">
        <f t="shared" si="33"/>
        <v>0</v>
      </c>
      <c r="H265" s="539">
        <f t="shared" si="33"/>
        <v>435</v>
      </c>
      <c r="I265" s="539">
        <f t="shared" si="33"/>
        <v>0</v>
      </c>
      <c r="J265" s="539">
        <f t="shared" si="33"/>
        <v>5356</v>
      </c>
      <c r="K265" s="539">
        <f t="shared" si="33"/>
        <v>0</v>
      </c>
    </row>
    <row r="266" spans="1:11" ht="13.8" x14ac:dyDescent="0.25">
      <c r="A266" s="1070"/>
      <c r="B266" s="182" t="s">
        <v>451</v>
      </c>
      <c r="C266" s="535">
        <f t="shared" ref="C266:K266" si="34">C151+C254</f>
        <v>11441</v>
      </c>
      <c r="D266" s="536">
        <f t="shared" si="34"/>
        <v>1084</v>
      </c>
      <c r="E266" s="537">
        <f t="shared" si="34"/>
        <v>9270</v>
      </c>
      <c r="F266" s="537">
        <f t="shared" si="34"/>
        <v>632</v>
      </c>
      <c r="G266" s="538">
        <f t="shared" si="34"/>
        <v>455</v>
      </c>
      <c r="H266" s="539">
        <f t="shared" si="34"/>
        <v>1564</v>
      </c>
      <c r="I266" s="539">
        <f t="shared" si="34"/>
        <v>0</v>
      </c>
      <c r="J266" s="539">
        <f t="shared" si="34"/>
        <v>9877</v>
      </c>
      <c r="K266" s="539">
        <f t="shared" si="34"/>
        <v>0</v>
      </c>
    </row>
    <row r="267" spans="1:11" ht="13.8" x14ac:dyDescent="0.25">
      <c r="A267" s="1070"/>
      <c r="B267" s="183" t="s">
        <v>295</v>
      </c>
      <c r="C267" s="540">
        <f>SUM(C264:C266)</f>
        <v>30717</v>
      </c>
      <c r="D267" s="541">
        <f t="shared" ref="D267:K267" si="35">SUM(D264:D266)</f>
        <v>9176</v>
      </c>
      <c r="E267" s="542">
        <f t="shared" si="35"/>
        <v>17454</v>
      </c>
      <c r="F267" s="542">
        <f t="shared" si="35"/>
        <v>632</v>
      </c>
      <c r="G267" s="543">
        <f t="shared" si="35"/>
        <v>3455</v>
      </c>
      <c r="H267" s="542">
        <f t="shared" si="35"/>
        <v>6277</v>
      </c>
      <c r="I267" s="542">
        <f t="shared" si="35"/>
        <v>0</v>
      </c>
      <c r="J267" s="542">
        <f t="shared" si="35"/>
        <v>24440</v>
      </c>
      <c r="K267" s="542">
        <f t="shared" si="35"/>
        <v>0</v>
      </c>
    </row>
  </sheetData>
  <mergeCells count="26">
    <mergeCell ref="A3:A267"/>
    <mergeCell ref="H258:K258"/>
    <mergeCell ref="H100:K100"/>
    <mergeCell ref="H229:K229"/>
    <mergeCell ref="B230:B232"/>
    <mergeCell ref="D43:G43"/>
    <mergeCell ref="D136:G136"/>
    <mergeCell ref="H136:K136"/>
    <mergeCell ref="D192:G192"/>
    <mergeCell ref="H192:K192"/>
    <mergeCell ref="B193:B195"/>
    <mergeCell ref="D258:G258"/>
    <mergeCell ref="D71:G71"/>
    <mergeCell ref="D229:G229"/>
    <mergeCell ref="H13:K13"/>
    <mergeCell ref="D13:G13"/>
    <mergeCell ref="H71:K71"/>
    <mergeCell ref="H43:K43"/>
    <mergeCell ref="H158:K158"/>
    <mergeCell ref="D100:G100"/>
    <mergeCell ref="D158:G158"/>
    <mergeCell ref="B3:G3"/>
    <mergeCell ref="B5:G5"/>
    <mergeCell ref="B6:G6"/>
    <mergeCell ref="B7:G7"/>
    <mergeCell ref="B159:B161"/>
  </mergeCells>
  <phoneticPr fontId="11" type="noConversion"/>
  <pageMargins left="0.74803149606299213" right="0.74803149606299213" top="0.98425196850393704" bottom="0.98425196850393704" header="0.51181102362204722" footer="0.51181102362204722"/>
  <pageSetup paperSize="9" scale="95" firstPageNumber="33" fitToHeight="0" orientation="landscape" useFirstPageNumber="1" r:id="rId1"/>
  <headerFooter alignWithMargins="0">
    <oddFooter>&amp;L&amp;8Chartered Accountants Australia New Zealand&amp;C&amp;9&amp;P&amp;R&amp;8VICTORIAN CITY COUNCIL</oddFooter>
  </headerFooter>
  <rowBreaks count="5" manualBreakCount="5">
    <brk id="8" min="1" max="10" man="1"/>
    <brk id="70" min="1" max="10" man="1"/>
    <brk id="99" min="1" max="10" man="1"/>
    <brk id="155" min="1" max="10" man="1"/>
    <brk id="257" min="1"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4"/>
  <sheetViews>
    <sheetView view="pageBreakPreview" topLeftCell="A126" zoomScaleNormal="100" zoomScaleSheetLayoutView="100" workbookViewId="0">
      <selection activeCell="A40" sqref="A40"/>
    </sheetView>
  </sheetViews>
  <sheetFormatPr defaultColWidth="9.109375" defaultRowHeight="13.2" x14ac:dyDescent="0.25"/>
  <cols>
    <col min="1" max="1" width="14.88671875" style="209" customWidth="1"/>
    <col min="2" max="2" width="49.88671875" style="68" customWidth="1"/>
    <col min="3" max="5" width="12.6640625" style="56" customWidth="1"/>
    <col min="6" max="6" width="10.5546875" style="47" customWidth="1"/>
    <col min="7" max="7" width="10" style="47" customWidth="1"/>
    <col min="8" max="8" width="10.33203125" style="47" bestFit="1" customWidth="1"/>
    <col min="9" max="9" width="10.5546875" style="47" customWidth="1"/>
    <col min="10" max="16384" width="9.109375" style="47"/>
  </cols>
  <sheetData>
    <row r="1" spans="1:8" ht="15.6" x14ac:dyDescent="0.25">
      <c r="A1" s="209" t="s">
        <v>816</v>
      </c>
      <c r="B1" s="551" t="s">
        <v>861</v>
      </c>
      <c r="C1" s="54"/>
      <c r="D1" s="54"/>
      <c r="E1" s="54"/>
    </row>
    <row r="2" spans="1:8" ht="13.8" x14ac:dyDescent="0.25">
      <c r="A2" s="216"/>
      <c r="B2" s="53"/>
      <c r="C2" s="54"/>
      <c r="D2" s="54"/>
      <c r="E2" s="54"/>
    </row>
    <row r="3" spans="1:8" s="277" customFormat="1" ht="25.5" customHeight="1" x14ac:dyDescent="0.25">
      <c r="A3" s="216"/>
      <c r="B3" s="1074" t="s">
        <v>1047</v>
      </c>
      <c r="C3" s="1074"/>
      <c r="D3" s="1074"/>
      <c r="E3" s="1074"/>
    </row>
    <row r="4" spans="1:8" s="287" customFormat="1" x14ac:dyDescent="0.25">
      <c r="A4" s="216"/>
      <c r="B4" s="290"/>
      <c r="C4" s="290"/>
      <c r="D4" s="290"/>
      <c r="E4" s="290"/>
    </row>
    <row r="5" spans="1:8" x14ac:dyDescent="0.25">
      <c r="A5" s="216"/>
      <c r="B5" s="293" t="s">
        <v>73</v>
      </c>
      <c r="C5" s="54"/>
      <c r="D5" s="54"/>
      <c r="E5" s="54"/>
    </row>
    <row r="6" spans="1:8" s="252" customFormat="1" ht="89.25" customHeight="1" x14ac:dyDescent="0.25">
      <c r="A6" s="216"/>
      <c r="B6" s="943" t="s">
        <v>1276</v>
      </c>
      <c r="C6" s="943"/>
      <c r="D6" s="943"/>
      <c r="E6" s="943"/>
      <c r="F6" s="83"/>
    </row>
    <row r="7" spans="1:8" s="886" customFormat="1" x14ac:dyDescent="0.25">
      <c r="A7" s="216"/>
      <c r="B7" s="887"/>
      <c r="C7" s="887"/>
      <c r="D7" s="887"/>
      <c r="E7" s="887"/>
      <c r="F7" s="83"/>
    </row>
    <row r="8" spans="1:8" s="886" customFormat="1" ht="38.25" customHeight="1" x14ac:dyDescent="0.25">
      <c r="A8" s="216"/>
      <c r="B8" s="943" t="s">
        <v>1352</v>
      </c>
      <c r="C8" s="943"/>
      <c r="D8" s="943"/>
      <c r="E8" s="943"/>
      <c r="F8" s="83"/>
    </row>
    <row r="9" spans="1:8" s="287" customFormat="1" x14ac:dyDescent="0.25">
      <c r="A9" s="216"/>
      <c r="B9" s="289"/>
      <c r="C9" s="289"/>
      <c r="D9" s="289"/>
      <c r="E9" s="289"/>
      <c r="F9" s="83"/>
    </row>
    <row r="10" spans="1:8" s="252" customFormat="1" ht="89.25" customHeight="1" x14ac:dyDescent="0.25">
      <c r="A10" s="216"/>
      <c r="B10" s="943" t="s">
        <v>1278</v>
      </c>
      <c r="C10" s="943"/>
      <c r="D10" s="943"/>
      <c r="E10" s="943"/>
      <c r="F10" s="56"/>
      <c r="G10" s="56"/>
    </row>
    <row r="11" spans="1:8" s="287" customFormat="1" x14ac:dyDescent="0.25">
      <c r="A11" s="216"/>
      <c r="B11" s="296"/>
      <c r="C11" s="297"/>
      <c r="D11" s="297"/>
      <c r="E11" s="297"/>
      <c r="F11" s="56"/>
      <c r="G11" s="56"/>
    </row>
    <row r="12" spans="1:8" ht="25.5" customHeight="1" x14ac:dyDescent="0.25">
      <c r="A12" s="216"/>
      <c r="B12" s="1079" t="s">
        <v>862</v>
      </c>
      <c r="C12" s="1081"/>
      <c r="D12" s="1081"/>
      <c r="E12" s="1081"/>
    </row>
    <row r="13" spans="1:8" x14ac:dyDescent="0.25">
      <c r="A13" s="1029" t="s">
        <v>831</v>
      </c>
      <c r="B13" s="1073" t="s">
        <v>592</v>
      </c>
      <c r="C13" s="379" t="s">
        <v>1114</v>
      </c>
      <c r="D13" s="379" t="s">
        <v>1098</v>
      </c>
      <c r="E13" s="379"/>
    </row>
    <row r="14" spans="1:8" x14ac:dyDescent="0.25">
      <c r="A14" s="1029"/>
      <c r="B14" s="1073"/>
      <c r="C14" s="379" t="s">
        <v>365</v>
      </c>
      <c r="D14" s="379" t="s">
        <v>365</v>
      </c>
      <c r="E14" s="379" t="s">
        <v>184</v>
      </c>
    </row>
    <row r="15" spans="1:8" x14ac:dyDescent="0.25">
      <c r="A15" s="1029"/>
      <c r="B15" s="50" t="s">
        <v>366</v>
      </c>
      <c r="C15" s="88">
        <v>0.24835399999999999</v>
      </c>
      <c r="D15" s="394">
        <v>0.25342199999999998</v>
      </c>
      <c r="E15" s="164">
        <f>+D15/C15-1</f>
        <v>2.040635544424485E-2</v>
      </c>
    </row>
    <row r="16" spans="1:8" x14ac:dyDescent="0.25">
      <c r="A16" s="1029"/>
      <c r="B16" s="50" t="s">
        <v>417</v>
      </c>
      <c r="C16" s="88">
        <v>0.434116</v>
      </c>
      <c r="D16" s="394">
        <v>0.44297599999999998</v>
      </c>
      <c r="E16" s="164">
        <f>+D16/C16-1</f>
        <v>2.0409291525767204E-2</v>
      </c>
      <c r="H16" s="756"/>
    </row>
    <row r="17" spans="1:9" x14ac:dyDescent="0.25">
      <c r="A17" s="1029"/>
      <c r="B17" s="50" t="s">
        <v>593</v>
      </c>
      <c r="C17" s="129">
        <f>C16</f>
        <v>0.434116</v>
      </c>
      <c r="D17" s="771">
        <v>0.44297599999999998</v>
      </c>
      <c r="E17" s="165">
        <f>+D17/C17-1</f>
        <v>2.0409291525767204E-2</v>
      </c>
      <c r="G17" s="756"/>
      <c r="H17" s="756"/>
    </row>
    <row r="18" spans="1:9" x14ac:dyDescent="0.25">
      <c r="A18" s="216"/>
      <c r="B18" s="80"/>
      <c r="C18" s="54"/>
      <c r="D18" s="54"/>
      <c r="E18" s="54"/>
    </row>
    <row r="19" spans="1:9" ht="38.25" customHeight="1" x14ac:dyDescent="0.25">
      <c r="A19" s="216"/>
      <c r="B19" s="1079" t="s">
        <v>863</v>
      </c>
      <c r="C19" s="1080"/>
      <c r="D19" s="1080"/>
      <c r="E19" s="1080"/>
    </row>
    <row r="20" spans="1:9" x14ac:dyDescent="0.25">
      <c r="A20" s="1029" t="s">
        <v>832</v>
      </c>
      <c r="B20" s="1073" t="s">
        <v>592</v>
      </c>
      <c r="C20" s="379" t="s">
        <v>1114</v>
      </c>
      <c r="D20" s="379" t="s">
        <v>1098</v>
      </c>
      <c r="E20" s="379"/>
    </row>
    <row r="21" spans="1:9" x14ac:dyDescent="0.25">
      <c r="A21" s="1032"/>
      <c r="B21" s="1073"/>
      <c r="C21" s="379" t="s">
        <v>353</v>
      </c>
      <c r="D21" s="379" t="s">
        <v>353</v>
      </c>
      <c r="E21" s="379" t="s">
        <v>184</v>
      </c>
    </row>
    <row r="22" spans="1:9" x14ac:dyDescent="0.25">
      <c r="A22" s="1029"/>
      <c r="B22" s="50" t="s">
        <v>183</v>
      </c>
      <c r="C22" s="90">
        <f>22158764/1000</f>
        <v>22158.763999999999</v>
      </c>
      <c r="D22" s="772">
        <f>22875485/1000</f>
        <v>22875.485000000001</v>
      </c>
      <c r="E22" s="164">
        <f>+D22/C22-1</f>
        <v>3.2344809484861292E-2</v>
      </c>
      <c r="H22" s="79"/>
      <c r="I22" s="780"/>
    </row>
    <row r="23" spans="1:9" x14ac:dyDescent="0.25">
      <c r="A23" s="1029"/>
      <c r="B23" s="50" t="s">
        <v>594</v>
      </c>
      <c r="C23" s="90">
        <f>4126390/1000</f>
        <v>4126.3900000000003</v>
      </c>
      <c r="D23" s="772">
        <f>4159602/1000</f>
        <v>4159.6019999999999</v>
      </c>
      <c r="E23" s="164">
        <f t="shared" ref="E23:E24" si="0">+D23/C23-1</f>
        <v>8.0486817775342612E-3</v>
      </c>
      <c r="G23" s="756"/>
      <c r="H23" s="79"/>
    </row>
    <row r="24" spans="1:9" x14ac:dyDescent="0.25">
      <c r="A24" s="1029"/>
      <c r="B24" s="50" t="s">
        <v>595</v>
      </c>
      <c r="C24" s="90">
        <f>3576272/1000</f>
        <v>3576.2719999999999</v>
      </c>
      <c r="D24" s="772">
        <f>3605053/1000</f>
        <v>3605.0529999999999</v>
      </c>
      <c r="E24" s="164">
        <f t="shared" si="0"/>
        <v>8.0477659417403924E-3</v>
      </c>
      <c r="G24" s="756"/>
      <c r="H24" s="79"/>
    </row>
    <row r="25" spans="1:9" x14ac:dyDescent="0.25">
      <c r="A25" s="1029"/>
      <c r="B25" s="132" t="s">
        <v>596</v>
      </c>
      <c r="C25" s="166">
        <f>SUM(C22:C24)</f>
        <v>29861.425999999999</v>
      </c>
      <c r="D25" s="773">
        <f>SUM(D22:D24)</f>
        <v>30640.14</v>
      </c>
      <c r="E25" s="167">
        <f>+D25/C25-1</f>
        <v>2.6077589194836159E-2</v>
      </c>
    </row>
    <row r="26" spans="1:9" x14ac:dyDescent="0.25">
      <c r="A26" s="216"/>
      <c r="B26" s="80"/>
      <c r="C26" s="54"/>
      <c r="D26" s="54"/>
      <c r="E26" s="54"/>
    </row>
    <row r="27" spans="1:9" ht="25.5" customHeight="1" x14ac:dyDescent="0.25">
      <c r="A27" s="216"/>
      <c r="B27" s="1079" t="s">
        <v>864</v>
      </c>
      <c r="C27" s="1080"/>
      <c r="D27" s="1080"/>
      <c r="E27" s="1080"/>
    </row>
    <row r="28" spans="1:9" x14ac:dyDescent="0.25">
      <c r="A28" s="1029" t="s">
        <v>833</v>
      </c>
      <c r="B28" s="1073" t="s">
        <v>592</v>
      </c>
      <c r="C28" s="379" t="s">
        <v>408</v>
      </c>
      <c r="D28" s="379" t="s">
        <v>409</v>
      </c>
      <c r="E28" s="379"/>
    </row>
    <row r="29" spans="1:9" x14ac:dyDescent="0.25">
      <c r="A29" s="1029"/>
      <c r="B29" s="1073"/>
      <c r="C29" s="379" t="s">
        <v>1353</v>
      </c>
      <c r="D29" s="379" t="s">
        <v>1353</v>
      </c>
      <c r="E29" s="379" t="s">
        <v>184</v>
      </c>
    </row>
    <row r="30" spans="1:9" x14ac:dyDescent="0.25">
      <c r="A30" s="1029"/>
      <c r="B30" s="50" t="s">
        <v>185</v>
      </c>
      <c r="C30" s="90">
        <v>51909</v>
      </c>
      <c r="D30" s="772">
        <v>52584</v>
      </c>
      <c r="E30" s="164">
        <v>1.2999999999999999E-2</v>
      </c>
    </row>
    <row r="31" spans="1:9" x14ac:dyDescent="0.25">
      <c r="A31" s="1029"/>
      <c r="B31" s="50" t="s">
        <v>418</v>
      </c>
      <c r="C31" s="90">
        <v>2496</v>
      </c>
      <c r="D31" s="772">
        <v>2428</v>
      </c>
      <c r="E31" s="164">
        <v>-2.7E-2</v>
      </c>
    </row>
    <row r="32" spans="1:9" x14ac:dyDescent="0.25">
      <c r="A32" s="1029"/>
      <c r="B32" s="50" t="s">
        <v>595</v>
      </c>
      <c r="C32" s="128">
        <v>2086</v>
      </c>
      <c r="D32" s="774">
        <v>2086</v>
      </c>
      <c r="E32" s="165" t="s">
        <v>148</v>
      </c>
    </row>
    <row r="33" spans="1:7" x14ac:dyDescent="0.25">
      <c r="A33" s="1029"/>
      <c r="B33" s="132" t="s">
        <v>186</v>
      </c>
      <c r="C33" s="128">
        <f>SUM(C30:C32)</f>
        <v>56491</v>
      </c>
      <c r="D33" s="774">
        <f>SUM(D30:D32)</f>
        <v>57098</v>
      </c>
      <c r="E33" s="165">
        <v>1.0999999999999999E-2</v>
      </c>
    </row>
    <row r="34" spans="1:7" x14ac:dyDescent="0.25">
      <c r="A34" s="216"/>
      <c r="B34" s="93"/>
      <c r="C34" s="94"/>
      <c r="D34" s="95"/>
      <c r="E34" s="95"/>
    </row>
    <row r="35" spans="1:7" x14ac:dyDescent="0.25">
      <c r="A35" s="216" t="s">
        <v>834</v>
      </c>
      <c r="B35" s="1082" t="s">
        <v>865</v>
      </c>
      <c r="C35" s="1081"/>
      <c r="D35" s="1081"/>
      <c r="E35" s="1081"/>
    </row>
    <row r="36" spans="1:7" x14ac:dyDescent="0.25">
      <c r="A36" s="216"/>
      <c r="B36" s="80"/>
      <c r="C36" s="54"/>
      <c r="D36" s="54"/>
      <c r="E36" s="54"/>
    </row>
    <row r="37" spans="1:7" ht="25.5" customHeight="1" x14ac:dyDescent="0.25">
      <c r="A37" s="216"/>
      <c r="B37" s="1079" t="s">
        <v>866</v>
      </c>
      <c r="C37" s="1080"/>
      <c r="D37" s="1080"/>
      <c r="E37" s="1080"/>
    </row>
    <row r="38" spans="1:7" x14ac:dyDescent="0.25">
      <c r="A38" s="1029" t="s">
        <v>835</v>
      </c>
      <c r="B38" s="1073" t="s">
        <v>592</v>
      </c>
      <c r="C38" s="379" t="s">
        <v>1114</v>
      </c>
      <c r="D38" s="379" t="s">
        <v>1098</v>
      </c>
      <c r="E38" s="379"/>
    </row>
    <row r="39" spans="1:7" x14ac:dyDescent="0.25">
      <c r="A39" s="1029"/>
      <c r="B39" s="1073"/>
      <c r="C39" s="379" t="s">
        <v>353</v>
      </c>
      <c r="D39" s="379" t="s">
        <v>353</v>
      </c>
      <c r="E39" s="379" t="s">
        <v>184</v>
      </c>
    </row>
    <row r="40" spans="1:7" x14ac:dyDescent="0.25">
      <c r="A40" s="1029"/>
      <c r="B40" s="45" t="s">
        <v>183</v>
      </c>
      <c r="C40" s="46">
        <f>8922249818/1000</f>
        <v>8922249.818</v>
      </c>
      <c r="D40" s="775">
        <f>9026652050/1000</f>
        <v>9026652.0500000007</v>
      </c>
      <c r="E40" s="102">
        <v>1.2E-2</v>
      </c>
      <c r="G40" s="780"/>
    </row>
    <row r="41" spans="1:7" x14ac:dyDescent="0.25">
      <c r="A41" s="1029"/>
      <c r="B41" s="45" t="s">
        <v>594</v>
      </c>
      <c r="C41" s="46">
        <f>950527144/1000</f>
        <v>950527.14399999997</v>
      </c>
      <c r="D41" s="775">
        <f>939012373/1000</f>
        <v>939012.37300000002</v>
      </c>
      <c r="E41" s="102">
        <v>-1.2E-2</v>
      </c>
    </row>
    <row r="42" spans="1:7" x14ac:dyDescent="0.25">
      <c r="A42" s="1029"/>
      <c r="B42" s="45" t="s">
        <v>595</v>
      </c>
      <c r="C42" s="103">
        <f>823805800/1000</f>
        <v>823805.8</v>
      </c>
      <c r="D42" s="776">
        <f>813825227/1000</f>
        <v>813825.22699999996</v>
      </c>
      <c r="E42" s="168">
        <v>-1.2E-2</v>
      </c>
    </row>
    <row r="43" spans="1:7" x14ac:dyDescent="0.25">
      <c r="A43" s="1029"/>
      <c r="B43" s="116" t="s">
        <v>597</v>
      </c>
      <c r="C43" s="103">
        <f>SUM(C40:C42)</f>
        <v>10696582.762</v>
      </c>
      <c r="D43" s="776">
        <f>SUM(D40:D42)</f>
        <v>10779489.65</v>
      </c>
      <c r="E43" s="168">
        <v>8.0000000000000002E-3</v>
      </c>
    </row>
    <row r="44" spans="1:7" x14ac:dyDescent="0.25">
      <c r="A44" s="216"/>
      <c r="B44" s="96"/>
      <c r="C44" s="97"/>
      <c r="D44" s="98"/>
      <c r="E44" s="99"/>
    </row>
    <row r="45" spans="1:7" x14ac:dyDescent="0.25">
      <c r="A45" s="216"/>
      <c r="B45" s="1077" t="s">
        <v>867</v>
      </c>
      <c r="C45" s="1076"/>
      <c r="D45" s="1076"/>
      <c r="E45" s="1076"/>
    </row>
    <row r="46" spans="1:7" ht="26.4" x14ac:dyDescent="0.25">
      <c r="A46" s="1029" t="s">
        <v>839</v>
      </c>
      <c r="B46" s="544"/>
      <c r="C46" s="548" t="s">
        <v>187</v>
      </c>
      <c r="D46" s="548" t="s">
        <v>187</v>
      </c>
      <c r="E46" s="548"/>
      <c r="F46"/>
      <c r="G46"/>
    </row>
    <row r="47" spans="1:7" x14ac:dyDescent="0.25">
      <c r="A47" s="1029"/>
      <c r="B47" s="544" t="s">
        <v>188</v>
      </c>
      <c r="C47" s="379" t="s">
        <v>1114</v>
      </c>
      <c r="D47" s="379" t="s">
        <v>1098</v>
      </c>
      <c r="E47" s="548" t="s">
        <v>184</v>
      </c>
      <c r="F47"/>
      <c r="G47"/>
    </row>
    <row r="48" spans="1:7" x14ac:dyDescent="0.25">
      <c r="A48" s="1029"/>
      <c r="B48" s="544"/>
      <c r="C48" s="548" t="s">
        <v>364</v>
      </c>
      <c r="D48" s="548" t="s">
        <v>364</v>
      </c>
      <c r="E48" s="548"/>
      <c r="F48"/>
      <c r="G48"/>
    </row>
    <row r="49" spans="1:8" x14ac:dyDescent="0.25">
      <c r="A49" s="1029"/>
      <c r="B49" s="154" t="s">
        <v>189</v>
      </c>
      <c r="C49" s="114">
        <v>105</v>
      </c>
      <c r="D49" s="777">
        <v>107</v>
      </c>
      <c r="E49" s="168">
        <f>+D49/C49-1</f>
        <v>1.904761904761898E-2</v>
      </c>
      <c r="F49"/>
      <c r="G49"/>
    </row>
    <row r="50" spans="1:8" x14ac:dyDescent="0.25">
      <c r="A50" s="216"/>
      <c r="B50" s="100"/>
      <c r="C50"/>
      <c r="D50"/>
      <c r="E50"/>
      <c r="F50"/>
      <c r="G50"/>
    </row>
    <row r="51" spans="1:8" ht="25.5" customHeight="1" x14ac:dyDescent="0.25">
      <c r="A51" s="216"/>
      <c r="B51" s="1076" t="s">
        <v>868</v>
      </c>
      <c r="C51" s="1078"/>
      <c r="D51" s="1078"/>
      <c r="E51" s="1078"/>
      <c r="F51"/>
      <c r="G51"/>
    </row>
    <row r="52" spans="1:8" x14ac:dyDescent="0.25">
      <c r="A52" s="1029" t="s">
        <v>840</v>
      </c>
      <c r="B52" s="1066" t="s">
        <v>188</v>
      </c>
      <c r="C52" s="379" t="s">
        <v>1114</v>
      </c>
      <c r="D52" s="379" t="s">
        <v>1098</v>
      </c>
      <c r="E52" s="548" t="s">
        <v>184</v>
      </c>
      <c r="F52"/>
      <c r="G52"/>
    </row>
    <row r="53" spans="1:8" x14ac:dyDescent="0.25">
      <c r="A53" s="1029"/>
      <c r="B53" s="1066"/>
      <c r="C53" s="379" t="s">
        <v>353</v>
      </c>
      <c r="D53" s="379" t="s">
        <v>353</v>
      </c>
      <c r="E53" s="553"/>
      <c r="F53"/>
      <c r="G53"/>
    </row>
    <row r="54" spans="1:8" x14ac:dyDescent="0.25">
      <c r="A54" s="1029"/>
      <c r="B54" s="154" t="s">
        <v>189</v>
      </c>
      <c r="C54" s="103">
        <f>5988344/1000</f>
        <v>5988.3440000000001</v>
      </c>
      <c r="D54" s="776">
        <f>6110556/1000</f>
        <v>6110.5559999999996</v>
      </c>
      <c r="E54" s="168">
        <f>+D54/C54-1</f>
        <v>2.0408313216475182E-2</v>
      </c>
      <c r="F54"/>
      <c r="G54"/>
      <c r="H54" s="264"/>
    </row>
    <row r="55" spans="1:8" x14ac:dyDescent="0.25">
      <c r="A55" s="216"/>
      <c r="B55" s="101"/>
      <c r="C55" s="97"/>
      <c r="D55" s="98"/>
      <c r="E55" s="99"/>
      <c r="F55"/>
      <c r="G55"/>
    </row>
    <row r="56" spans="1:8" ht="25.5" customHeight="1" x14ac:dyDescent="0.25">
      <c r="A56" s="216"/>
      <c r="B56" s="1075" t="s">
        <v>1354</v>
      </c>
      <c r="C56" s="1076"/>
      <c r="D56" s="1076"/>
      <c r="E56" s="1076"/>
      <c r="F56"/>
      <c r="G56"/>
    </row>
    <row r="57" spans="1:8" ht="26.4" x14ac:dyDescent="0.25">
      <c r="A57" s="1029" t="s">
        <v>841</v>
      </c>
      <c r="B57" s="1073" t="s">
        <v>598</v>
      </c>
      <c r="C57" s="379" t="s">
        <v>187</v>
      </c>
      <c r="D57" s="379" t="s">
        <v>187</v>
      </c>
      <c r="E57" s="379"/>
    </row>
    <row r="58" spans="1:8" x14ac:dyDescent="0.25">
      <c r="A58" s="1029"/>
      <c r="B58" s="1073"/>
      <c r="C58" s="379" t="s">
        <v>1114</v>
      </c>
      <c r="D58" s="379" t="s">
        <v>1098</v>
      </c>
      <c r="E58" s="379" t="s">
        <v>184</v>
      </c>
    </row>
    <row r="59" spans="1:8" x14ac:dyDescent="0.25">
      <c r="A59" s="1029"/>
      <c r="B59" s="1073"/>
      <c r="C59" s="379" t="s">
        <v>364</v>
      </c>
      <c r="D59" s="379" t="s">
        <v>364</v>
      </c>
      <c r="E59" s="379"/>
    </row>
    <row r="60" spans="1:8" x14ac:dyDescent="0.25">
      <c r="A60" s="1029"/>
      <c r="B60" s="45" t="s">
        <v>440</v>
      </c>
      <c r="C60" s="46">
        <v>77</v>
      </c>
      <c r="D60" s="775">
        <v>80</v>
      </c>
      <c r="E60" s="102">
        <v>3.9E-2</v>
      </c>
    </row>
    <row r="61" spans="1:8" x14ac:dyDescent="0.25">
      <c r="A61" s="1029"/>
      <c r="B61" s="45" t="s">
        <v>441</v>
      </c>
      <c r="C61" s="103">
        <v>19</v>
      </c>
      <c r="D61" s="776">
        <v>20</v>
      </c>
      <c r="E61" s="168">
        <v>5.2999999999999999E-2</v>
      </c>
    </row>
    <row r="62" spans="1:8" x14ac:dyDescent="0.25">
      <c r="A62" s="1029"/>
      <c r="B62" s="116" t="s">
        <v>439</v>
      </c>
      <c r="C62" s="103">
        <v>96</v>
      </c>
      <c r="D62" s="776">
        <v>100</v>
      </c>
      <c r="E62" s="168">
        <v>4.2000000000000003E-2</v>
      </c>
    </row>
    <row r="63" spans="1:8" x14ac:dyDescent="0.25">
      <c r="A63" s="216"/>
      <c r="B63" s="101"/>
      <c r="C63" s="97"/>
      <c r="D63" s="98"/>
      <c r="E63" s="99"/>
      <c r="F63"/>
      <c r="G63"/>
    </row>
    <row r="64" spans="1:8" s="888" customFormat="1" ht="25.5" customHeight="1" x14ac:dyDescent="0.25">
      <c r="A64" s="466"/>
      <c r="B64" s="1075" t="s">
        <v>869</v>
      </c>
      <c r="C64" s="1076"/>
      <c r="D64" s="1076"/>
      <c r="E64" s="1076"/>
      <c r="F64" s="268"/>
      <c r="G64" s="268"/>
    </row>
    <row r="65" spans="1:10" x14ac:dyDescent="0.25">
      <c r="A65" s="1029" t="s">
        <v>838</v>
      </c>
      <c r="B65" s="1073" t="s">
        <v>598</v>
      </c>
      <c r="C65" s="379" t="s">
        <v>1114</v>
      </c>
      <c r="D65" s="379" t="s">
        <v>1115</v>
      </c>
      <c r="E65" s="379" t="s">
        <v>184</v>
      </c>
    </row>
    <row r="66" spans="1:10" x14ac:dyDescent="0.25">
      <c r="A66" s="1029"/>
      <c r="B66" s="1073"/>
      <c r="C66" s="379" t="s">
        <v>353</v>
      </c>
      <c r="D66" s="379" t="s">
        <v>353</v>
      </c>
      <c r="E66" s="379"/>
    </row>
    <row r="67" spans="1:10" x14ac:dyDescent="0.25">
      <c r="A67" s="1029"/>
      <c r="B67" s="45" t="s">
        <v>440</v>
      </c>
      <c r="C67" s="46">
        <f>4349499/1000</f>
        <v>4349.4989999999998</v>
      </c>
      <c r="D67" s="775">
        <f>4568640/1000</f>
        <v>4568.6400000000003</v>
      </c>
      <c r="E67" s="102">
        <v>0.05</v>
      </c>
    </row>
    <row r="68" spans="1:10" x14ac:dyDescent="0.25">
      <c r="A68" s="1029"/>
      <c r="B68" s="45" t="s">
        <v>441</v>
      </c>
      <c r="C68" s="103">
        <f>1006911/1000</f>
        <v>1006.9109999999999</v>
      </c>
      <c r="D68" s="776">
        <f>1142160/1000</f>
        <v>1142.1600000000001</v>
      </c>
      <c r="E68" s="168">
        <v>0.13400000000000001</v>
      </c>
    </row>
    <row r="69" spans="1:10" x14ac:dyDescent="0.25">
      <c r="A69" s="1029"/>
      <c r="B69" s="116" t="s">
        <v>439</v>
      </c>
      <c r="C69" s="103">
        <f>SUM(C68,C67,)</f>
        <v>5356.41</v>
      </c>
      <c r="D69" s="776">
        <f>SUM(D68,D67)</f>
        <v>5710.8</v>
      </c>
      <c r="E69" s="168">
        <v>6.6000000000000003E-2</v>
      </c>
    </row>
    <row r="70" spans="1:10" x14ac:dyDescent="0.25">
      <c r="A70" s="216"/>
      <c r="B70" s="96"/>
      <c r="C70" s="97"/>
      <c r="D70" s="98"/>
      <c r="E70" s="99"/>
    </row>
    <row r="71" spans="1:10" ht="25.5" customHeight="1" x14ac:dyDescent="0.25">
      <c r="A71" s="216"/>
      <c r="B71" s="1075" t="s">
        <v>870</v>
      </c>
      <c r="C71" s="1076"/>
      <c r="D71" s="1076"/>
      <c r="E71" s="1076"/>
      <c r="F71"/>
      <c r="G71"/>
    </row>
    <row r="72" spans="1:10" x14ac:dyDescent="0.25">
      <c r="A72" s="1029" t="s">
        <v>837</v>
      </c>
      <c r="B72" s="1073" t="s">
        <v>598</v>
      </c>
      <c r="C72" s="379" t="s">
        <v>1114</v>
      </c>
      <c r="D72" s="379" t="s">
        <v>1098</v>
      </c>
      <c r="E72" s="379" t="s">
        <v>184</v>
      </c>
    </row>
    <row r="73" spans="1:10" x14ac:dyDescent="0.25">
      <c r="A73" s="1029"/>
      <c r="B73" s="1073"/>
      <c r="C73" s="379" t="s">
        <v>353</v>
      </c>
      <c r="D73" s="379" t="s">
        <v>353</v>
      </c>
      <c r="E73" s="379"/>
    </row>
    <row r="74" spans="1:10" x14ac:dyDescent="0.25">
      <c r="A74" s="1029"/>
      <c r="B74" s="45" t="s">
        <v>811</v>
      </c>
      <c r="C74" s="46">
        <f>C25</f>
        <v>29861.425999999999</v>
      </c>
      <c r="D74" s="775">
        <f>D25</f>
        <v>30640.14</v>
      </c>
      <c r="E74" s="102">
        <f>(D74-C74)/C74</f>
        <v>2.6077589194836173E-2</v>
      </c>
    </row>
    <row r="75" spans="1:10" s="204" customFormat="1" x14ac:dyDescent="0.25">
      <c r="A75" s="1029"/>
      <c r="B75" s="45" t="s">
        <v>109</v>
      </c>
      <c r="C75" s="46">
        <f>C54</f>
        <v>5988.3440000000001</v>
      </c>
      <c r="D75" s="775">
        <f>D54</f>
        <v>6110.5559999999996</v>
      </c>
      <c r="E75" s="102">
        <f t="shared" ref="E75:E79" si="1">(D75-C75)/C75</f>
        <v>2.0408313216475127E-2</v>
      </c>
    </row>
    <row r="76" spans="1:10" s="204" customFormat="1" x14ac:dyDescent="0.25">
      <c r="A76" s="1029"/>
      <c r="B76" s="45" t="s">
        <v>812</v>
      </c>
      <c r="C76" s="97">
        <f>C69</f>
        <v>5356.41</v>
      </c>
      <c r="D76" s="782">
        <f>D69</f>
        <v>5710.8</v>
      </c>
      <c r="E76" s="783">
        <f t="shared" si="1"/>
        <v>6.6161850941208813E-2</v>
      </c>
    </row>
    <row r="77" spans="1:10" s="756" customFormat="1" x14ac:dyDescent="0.25">
      <c r="A77" s="1029"/>
      <c r="B77" s="45" t="s">
        <v>1277</v>
      </c>
      <c r="C77" s="97">
        <f>14401/1000</f>
        <v>14.401</v>
      </c>
      <c r="D77" s="782">
        <f>14669/1000</f>
        <v>14.669</v>
      </c>
      <c r="E77" s="783">
        <f t="shared" si="1"/>
        <v>1.8609818762585981E-2</v>
      </c>
    </row>
    <row r="78" spans="1:10" s="756" customFormat="1" x14ac:dyDescent="0.25">
      <c r="A78" s="1029"/>
      <c r="B78" s="45" t="s">
        <v>1248</v>
      </c>
      <c r="C78" s="103">
        <f>(464753/1000)</f>
        <v>464.75299999999999</v>
      </c>
      <c r="D78" s="776">
        <v>981</v>
      </c>
      <c r="E78" s="168">
        <f t="shared" si="1"/>
        <v>1.1107986392772076</v>
      </c>
    </row>
    <row r="79" spans="1:10" x14ac:dyDescent="0.25">
      <c r="A79" s="1029"/>
      <c r="B79" s="116" t="s">
        <v>73</v>
      </c>
      <c r="C79" s="103">
        <f>SUM(C74:C78)</f>
        <v>41685.333999999988</v>
      </c>
      <c r="D79" s="776">
        <f>SUM(D74:D78)</f>
        <v>43457.165000000001</v>
      </c>
      <c r="E79" s="168">
        <f t="shared" si="1"/>
        <v>4.2504901124218251E-2</v>
      </c>
      <c r="H79" s="780">
        <f>'3'!C42-C79</f>
        <v>-0.33399999998800922</v>
      </c>
      <c r="I79" s="780">
        <f>'3'!D42-D79</f>
        <v>-0.16500000000087311</v>
      </c>
      <c r="J79" s="47" t="s">
        <v>1247</v>
      </c>
    </row>
    <row r="80" spans="1:10" s="63" customFormat="1" x14ac:dyDescent="0.25">
      <c r="A80" s="466"/>
      <c r="B80" s="295"/>
      <c r="C80" s="97"/>
      <c r="D80" s="98"/>
      <c r="E80" s="99"/>
      <c r="I80" s="781"/>
    </row>
    <row r="81" spans="1:5" s="63" customFormat="1" ht="25.5" customHeight="1" x14ac:dyDescent="0.25">
      <c r="A81" s="1005" t="s">
        <v>836</v>
      </c>
      <c r="B81" s="1072" t="s">
        <v>871</v>
      </c>
      <c r="C81" s="952"/>
      <c r="D81" s="952"/>
      <c r="E81" s="952"/>
    </row>
    <row r="82" spans="1:5" s="63" customFormat="1" ht="25.5" customHeight="1" x14ac:dyDescent="0.25">
      <c r="A82" s="1005"/>
      <c r="B82" s="949" t="s">
        <v>599</v>
      </c>
      <c r="C82" s="941"/>
      <c r="D82" s="941"/>
      <c r="E82" s="941"/>
    </row>
    <row r="83" spans="1:5" s="63" customFormat="1" x14ac:dyDescent="0.25">
      <c r="A83" s="1005"/>
      <c r="B83" s="949" t="s">
        <v>1279</v>
      </c>
      <c r="C83" s="941"/>
      <c r="D83" s="941"/>
      <c r="E83" s="941"/>
    </row>
    <row r="84" spans="1:5" s="759" customFormat="1" x14ac:dyDescent="0.25">
      <c r="A84" s="1005"/>
      <c r="B84" s="949" t="s">
        <v>1280</v>
      </c>
      <c r="C84" s="941"/>
      <c r="D84" s="941"/>
      <c r="E84" s="941"/>
    </row>
    <row r="85" spans="1:5" s="759" customFormat="1" x14ac:dyDescent="0.25">
      <c r="A85" s="1005"/>
      <c r="B85" s="949" t="s">
        <v>1281</v>
      </c>
      <c r="C85" s="941"/>
      <c r="D85" s="941"/>
      <c r="E85" s="941"/>
    </row>
    <row r="86" spans="1:5" s="759" customFormat="1" x14ac:dyDescent="0.25">
      <c r="A86" s="466"/>
      <c r="B86" s="949" t="s">
        <v>1282</v>
      </c>
      <c r="C86" s="941"/>
      <c r="D86" s="941"/>
      <c r="E86" s="941"/>
    </row>
    <row r="87" spans="1:5" s="63" customFormat="1" x14ac:dyDescent="0.25">
      <c r="A87" s="466"/>
      <c r="B87" s="272"/>
      <c r="C87" s="83"/>
      <c r="D87" s="83"/>
      <c r="E87" s="83"/>
    </row>
    <row r="88" spans="1:5" s="63" customFormat="1" x14ac:dyDescent="0.25">
      <c r="A88" s="1005" t="s">
        <v>842</v>
      </c>
      <c r="B88" s="288" t="s">
        <v>872</v>
      </c>
      <c r="C88" s="83"/>
      <c r="D88" s="83"/>
      <c r="E88" s="83"/>
    </row>
    <row r="89" spans="1:5" s="63" customFormat="1" x14ac:dyDescent="0.25">
      <c r="A89" s="1005"/>
      <c r="B89" s="288" t="s">
        <v>873</v>
      </c>
      <c r="C89" s="83"/>
      <c r="D89" s="83"/>
      <c r="E89" s="83"/>
    </row>
    <row r="90" spans="1:5" s="63" customFormat="1" x14ac:dyDescent="0.25">
      <c r="A90" s="1005"/>
      <c r="B90" s="944" t="s">
        <v>190</v>
      </c>
      <c r="C90" s="944"/>
      <c r="D90" s="944"/>
      <c r="E90" s="944"/>
    </row>
    <row r="91" spans="1:5" s="63" customFormat="1" x14ac:dyDescent="0.25">
      <c r="A91" s="1005"/>
      <c r="B91" s="947" t="s">
        <v>1283</v>
      </c>
      <c r="C91" s="941"/>
      <c r="D91" s="941"/>
      <c r="E91" s="941"/>
    </row>
    <row r="92" spans="1:5" s="63" customFormat="1" ht="25.5" customHeight="1" x14ac:dyDescent="0.25">
      <c r="A92" s="1005"/>
      <c r="B92" s="947" t="s">
        <v>1284</v>
      </c>
      <c r="C92" s="941"/>
      <c r="D92" s="941"/>
      <c r="E92" s="941"/>
    </row>
    <row r="93" spans="1:5" s="63" customFormat="1" x14ac:dyDescent="0.25">
      <c r="A93" s="1005"/>
      <c r="B93" s="272"/>
      <c r="C93" s="83"/>
      <c r="D93" s="83"/>
      <c r="E93" s="83"/>
    </row>
    <row r="94" spans="1:5" s="63" customFormat="1" ht="25.5" customHeight="1" x14ac:dyDescent="0.25">
      <c r="A94" s="1005"/>
      <c r="B94" s="944" t="s">
        <v>224</v>
      </c>
      <c r="C94" s="941"/>
      <c r="D94" s="941"/>
      <c r="E94" s="941"/>
    </row>
    <row r="95" spans="1:5" s="63" customFormat="1" x14ac:dyDescent="0.25">
      <c r="A95" s="1005"/>
      <c r="B95" s="272"/>
      <c r="C95" s="83"/>
      <c r="D95" s="83"/>
      <c r="E95" s="83"/>
    </row>
    <row r="96" spans="1:5" s="63" customFormat="1" ht="38.25" customHeight="1" x14ac:dyDescent="0.25">
      <c r="A96" s="1005"/>
      <c r="B96" s="944" t="s">
        <v>225</v>
      </c>
      <c r="C96" s="941"/>
      <c r="D96" s="941"/>
      <c r="E96" s="941"/>
    </row>
    <row r="97" spans="1:5" s="63" customFormat="1" x14ac:dyDescent="0.25">
      <c r="A97" s="1005"/>
      <c r="B97" s="272"/>
      <c r="C97" s="83"/>
      <c r="D97" s="83"/>
      <c r="E97" s="83"/>
    </row>
    <row r="98" spans="1:5" s="63" customFormat="1" x14ac:dyDescent="0.25">
      <c r="A98" s="1005"/>
      <c r="B98" s="288" t="s">
        <v>1285</v>
      </c>
      <c r="C98" s="83"/>
      <c r="D98" s="83"/>
      <c r="E98" s="83"/>
    </row>
    <row r="99" spans="1:5" s="63" customFormat="1" x14ac:dyDescent="0.25">
      <c r="A99" s="1005"/>
      <c r="B99" s="944" t="s">
        <v>419</v>
      </c>
      <c r="C99" s="941"/>
      <c r="D99" s="941"/>
      <c r="E99" s="941"/>
    </row>
    <row r="100" spans="1:5" s="63" customFormat="1" ht="25.5" customHeight="1" x14ac:dyDescent="0.25">
      <c r="A100" s="1005"/>
      <c r="B100" s="947" t="s">
        <v>1116</v>
      </c>
      <c r="C100" s="941"/>
      <c r="D100" s="941"/>
      <c r="E100" s="941"/>
    </row>
    <row r="101" spans="1:5" s="63" customFormat="1" x14ac:dyDescent="0.25">
      <c r="A101" s="1005"/>
      <c r="B101" s="947" t="s">
        <v>1117</v>
      </c>
      <c r="C101" s="941"/>
      <c r="D101" s="941"/>
      <c r="E101" s="941"/>
    </row>
    <row r="102" spans="1:5" s="63" customFormat="1" x14ac:dyDescent="0.25">
      <c r="A102" s="1005"/>
      <c r="B102" s="272"/>
      <c r="C102" s="83"/>
      <c r="D102" s="83"/>
      <c r="E102" s="83"/>
    </row>
    <row r="103" spans="1:5" s="63" customFormat="1" ht="25.5" customHeight="1" x14ac:dyDescent="0.25">
      <c r="A103" s="1005"/>
      <c r="B103" s="944" t="s">
        <v>226</v>
      </c>
      <c r="C103" s="941"/>
      <c r="D103" s="941"/>
      <c r="E103" s="941"/>
    </row>
    <row r="104" spans="1:5" s="63" customFormat="1" x14ac:dyDescent="0.25">
      <c r="A104" s="1005"/>
      <c r="B104" s="947" t="s">
        <v>1118</v>
      </c>
      <c r="C104" s="941"/>
      <c r="D104" s="941"/>
      <c r="E104" s="941"/>
    </row>
    <row r="105" spans="1:5" s="63" customFormat="1" x14ac:dyDescent="0.25">
      <c r="A105" s="1005"/>
      <c r="B105" s="947" t="s">
        <v>1119</v>
      </c>
      <c r="C105" s="941"/>
      <c r="D105" s="941"/>
      <c r="E105" s="941"/>
    </row>
    <row r="106" spans="1:5" s="63" customFormat="1" x14ac:dyDescent="0.25">
      <c r="A106" s="1005"/>
      <c r="B106" s="947" t="s">
        <v>1120</v>
      </c>
      <c r="C106" s="941"/>
      <c r="D106" s="941"/>
      <c r="E106" s="941"/>
    </row>
    <row r="107" spans="1:5" s="63" customFormat="1" x14ac:dyDescent="0.25">
      <c r="A107" s="1005"/>
      <c r="B107" s="272"/>
      <c r="C107" s="83"/>
      <c r="D107" s="83"/>
      <c r="E107" s="83"/>
    </row>
    <row r="108" spans="1:5" s="63" customFormat="1" ht="25.5" customHeight="1" x14ac:dyDescent="0.25">
      <c r="A108" s="1005"/>
      <c r="B108" s="944" t="s">
        <v>227</v>
      </c>
      <c r="C108" s="941"/>
      <c r="D108" s="941"/>
      <c r="E108" s="941"/>
    </row>
    <row r="109" spans="1:5" s="63" customFormat="1" x14ac:dyDescent="0.25">
      <c r="A109" s="1005"/>
      <c r="B109" s="272"/>
      <c r="C109" s="83"/>
      <c r="D109" s="83"/>
      <c r="E109" s="83"/>
    </row>
    <row r="110" spans="1:5" s="63" customFormat="1" ht="38.25" customHeight="1" x14ac:dyDescent="0.25">
      <c r="A110" s="1005"/>
      <c r="B110" s="944" t="s">
        <v>228</v>
      </c>
      <c r="C110" s="941"/>
      <c r="D110" s="941"/>
      <c r="E110" s="941"/>
    </row>
    <row r="111" spans="1:5" s="63" customFormat="1" x14ac:dyDescent="0.25">
      <c r="A111" s="1005"/>
      <c r="B111" s="272"/>
      <c r="C111" s="83"/>
      <c r="D111" s="83"/>
      <c r="E111" s="83"/>
    </row>
    <row r="112" spans="1:5" s="63" customFormat="1" ht="38.25" customHeight="1" x14ac:dyDescent="0.25">
      <c r="A112" s="1005"/>
      <c r="B112" s="944" t="s">
        <v>1243</v>
      </c>
      <c r="C112" s="941"/>
      <c r="D112" s="941"/>
      <c r="E112" s="941"/>
    </row>
    <row r="113" spans="1:5" s="63" customFormat="1" x14ac:dyDescent="0.25">
      <c r="A113" s="1005"/>
      <c r="B113" s="272"/>
      <c r="C113" s="83"/>
      <c r="D113" s="83"/>
      <c r="E113" s="83"/>
    </row>
    <row r="114" spans="1:5" s="63" customFormat="1" ht="63.75" customHeight="1" x14ac:dyDescent="0.25">
      <c r="A114" s="1005"/>
      <c r="B114" s="944" t="s">
        <v>420</v>
      </c>
      <c r="C114" s="941"/>
      <c r="D114" s="941"/>
      <c r="E114" s="941"/>
    </row>
    <row r="115" spans="1:5" s="63" customFormat="1" x14ac:dyDescent="0.25">
      <c r="A115" s="1005"/>
      <c r="B115" s="272"/>
      <c r="C115" s="83"/>
      <c r="D115" s="83"/>
      <c r="E115" s="83"/>
    </row>
    <row r="116" spans="1:5" s="63" customFormat="1" ht="25.5" customHeight="1" x14ac:dyDescent="0.25">
      <c r="A116" s="1005"/>
      <c r="B116" s="944" t="s">
        <v>1065</v>
      </c>
      <c r="C116" s="941"/>
      <c r="D116" s="941"/>
      <c r="E116" s="941"/>
    </row>
    <row r="117" spans="1:5" s="63" customFormat="1" x14ac:dyDescent="0.25">
      <c r="A117" s="1005"/>
      <c r="B117" s="272"/>
      <c r="C117" s="83"/>
      <c r="D117" s="83"/>
      <c r="E117" s="83"/>
    </row>
    <row r="118" spans="1:5" s="63" customFormat="1" x14ac:dyDescent="0.25">
      <c r="A118" s="1005"/>
      <c r="B118" s="952" t="s">
        <v>874</v>
      </c>
      <c r="C118" s="941"/>
      <c r="D118" s="941"/>
      <c r="E118" s="941"/>
    </row>
    <row r="119" spans="1:5" s="63" customFormat="1" x14ac:dyDescent="0.25">
      <c r="A119" s="1005"/>
      <c r="B119" s="944" t="s">
        <v>231</v>
      </c>
      <c r="C119" s="941"/>
      <c r="D119" s="941"/>
      <c r="E119" s="941"/>
    </row>
    <row r="120" spans="1:5" s="63" customFormat="1" x14ac:dyDescent="0.25">
      <c r="A120" s="1005"/>
      <c r="B120" s="947" t="s">
        <v>1121</v>
      </c>
      <c r="C120" s="941"/>
      <c r="D120" s="941"/>
      <c r="E120" s="941"/>
    </row>
    <row r="121" spans="1:5" s="63" customFormat="1" ht="25.5" customHeight="1" x14ac:dyDescent="0.25">
      <c r="A121" s="1005"/>
      <c r="B121" s="947" t="s">
        <v>1286</v>
      </c>
      <c r="C121" s="941"/>
      <c r="D121" s="941"/>
      <c r="E121" s="941"/>
    </row>
    <row r="122" spans="1:5" s="63" customFormat="1" x14ac:dyDescent="0.25">
      <c r="A122" s="1005"/>
      <c r="B122" s="272"/>
      <c r="C122" s="83"/>
      <c r="D122" s="83"/>
      <c r="E122" s="83"/>
    </row>
    <row r="123" spans="1:5" s="63" customFormat="1" ht="25.5" customHeight="1" x14ac:dyDescent="0.25">
      <c r="A123" s="1005"/>
      <c r="B123" s="944" t="s">
        <v>226</v>
      </c>
      <c r="C123" s="941"/>
      <c r="D123" s="941"/>
      <c r="E123" s="941"/>
    </row>
    <row r="124" spans="1:5" s="63" customFormat="1" x14ac:dyDescent="0.25">
      <c r="A124" s="1005"/>
      <c r="B124" s="947" t="s">
        <v>1118</v>
      </c>
      <c r="C124" s="941"/>
      <c r="D124" s="941"/>
      <c r="E124" s="941"/>
    </row>
    <row r="125" spans="1:5" s="63" customFormat="1" x14ac:dyDescent="0.25">
      <c r="A125" s="1005"/>
      <c r="B125" s="947" t="s">
        <v>1119</v>
      </c>
      <c r="C125" s="941"/>
      <c r="D125" s="941"/>
      <c r="E125" s="941"/>
    </row>
    <row r="126" spans="1:5" s="63" customFormat="1" x14ac:dyDescent="0.25">
      <c r="A126" s="1005"/>
      <c r="B126" s="947" t="s">
        <v>1120</v>
      </c>
      <c r="C126" s="941"/>
      <c r="D126" s="941"/>
      <c r="E126" s="941"/>
    </row>
    <row r="127" spans="1:5" s="63" customFormat="1" x14ac:dyDescent="0.25">
      <c r="A127" s="1005"/>
      <c r="B127" s="272"/>
      <c r="C127" s="83"/>
      <c r="D127" s="83"/>
      <c r="E127" s="83"/>
    </row>
    <row r="128" spans="1:5" s="63" customFormat="1" ht="25.5" customHeight="1" x14ac:dyDescent="0.25">
      <c r="A128" s="1005"/>
      <c r="B128" s="1046" t="s">
        <v>227</v>
      </c>
      <c r="C128" s="1046"/>
      <c r="D128" s="1046"/>
      <c r="E128" s="1046"/>
    </row>
    <row r="129" spans="1:5" s="63" customFormat="1" x14ac:dyDescent="0.25">
      <c r="A129" s="1005"/>
      <c r="B129" s="885"/>
      <c r="C129" s="125"/>
      <c r="D129" s="125"/>
      <c r="E129" s="125"/>
    </row>
    <row r="130" spans="1:5" s="63" customFormat="1" ht="38.25" customHeight="1" x14ac:dyDescent="0.25">
      <c r="A130" s="1005"/>
      <c r="B130" s="1046" t="s">
        <v>228</v>
      </c>
      <c r="C130" s="1046"/>
      <c r="D130" s="1046"/>
      <c r="E130" s="1046"/>
    </row>
    <row r="131" spans="1:5" s="63" customFormat="1" x14ac:dyDescent="0.25">
      <c r="A131" s="1005"/>
      <c r="B131" s="885"/>
      <c r="C131" s="125"/>
      <c r="D131" s="125"/>
      <c r="E131" s="125"/>
    </row>
    <row r="132" spans="1:5" s="63" customFormat="1" ht="25.5" customHeight="1" x14ac:dyDescent="0.25">
      <c r="A132" s="1005"/>
      <c r="B132" s="1046" t="s">
        <v>229</v>
      </c>
      <c r="C132" s="1046"/>
      <c r="D132" s="1046"/>
      <c r="E132" s="1046"/>
    </row>
    <row r="133" spans="1:5" s="63" customFormat="1" x14ac:dyDescent="0.25">
      <c r="A133" s="1005"/>
      <c r="B133" s="885"/>
      <c r="C133" s="125"/>
      <c r="D133" s="125"/>
      <c r="E133" s="125"/>
    </row>
    <row r="134" spans="1:5" s="63" customFormat="1" x14ac:dyDescent="0.25">
      <c r="A134" s="1005"/>
      <c r="B134" s="1046" t="s">
        <v>230</v>
      </c>
      <c r="C134" s="1046"/>
      <c r="D134" s="1046"/>
      <c r="E134" s="1046"/>
    </row>
    <row r="135" spans="1:5" s="63" customFormat="1" x14ac:dyDescent="0.25">
      <c r="A135" s="1005"/>
      <c r="B135" s="885"/>
      <c r="C135" s="125"/>
      <c r="D135" s="125"/>
      <c r="E135" s="125"/>
    </row>
    <row r="136" spans="1:5" s="63" customFormat="1" ht="63.75" customHeight="1" x14ac:dyDescent="0.25">
      <c r="A136" s="1005"/>
      <c r="B136" s="1046" t="s">
        <v>421</v>
      </c>
      <c r="C136" s="1046"/>
      <c r="D136" s="1046"/>
      <c r="E136" s="1046"/>
    </row>
    <row r="137" spans="1:5" s="63" customFormat="1" x14ac:dyDescent="0.25">
      <c r="A137" s="1005"/>
      <c r="B137" s="885"/>
      <c r="C137" s="125"/>
      <c r="D137" s="125"/>
      <c r="E137" s="125"/>
    </row>
    <row r="138" spans="1:5" s="63" customFormat="1" ht="25.5" customHeight="1" x14ac:dyDescent="0.25">
      <c r="A138" s="1005"/>
      <c r="B138" s="1046" t="s">
        <v>1242</v>
      </c>
      <c r="C138" s="1046"/>
      <c r="D138" s="1046"/>
      <c r="E138" s="1046"/>
    </row>
    <row r="139" spans="1:5" x14ac:dyDescent="0.25">
      <c r="B139" s="67"/>
      <c r="C139" s="47"/>
      <c r="D139" s="47"/>
      <c r="E139" s="47"/>
    </row>
    <row r="140" spans="1:5" x14ac:dyDescent="0.25">
      <c r="B140" s="288" t="s">
        <v>1122</v>
      </c>
    </row>
    <row r="141" spans="1:5" s="125" customFormat="1" x14ac:dyDescent="0.25">
      <c r="B141" s="1071" t="s">
        <v>1419</v>
      </c>
      <c r="C141" s="1071"/>
      <c r="D141" s="1071"/>
      <c r="E141" s="1071"/>
    </row>
    <row r="142" spans="1:5" s="125" customFormat="1" x14ac:dyDescent="0.25">
      <c r="B142" s="860"/>
      <c r="C142" s="861"/>
      <c r="D142" s="861"/>
      <c r="E142" s="861"/>
    </row>
    <row r="143" spans="1:5" s="125" customFormat="1" x14ac:dyDescent="0.25">
      <c r="B143" s="869" t="s">
        <v>1244</v>
      </c>
      <c r="C143" s="862">
        <f>'Rate Cap - Model Budget'!L16</f>
        <v>631.88688555995384</v>
      </c>
      <c r="D143" s="861"/>
      <c r="E143" s="861"/>
    </row>
    <row r="144" spans="1:5" s="125" customFormat="1" x14ac:dyDescent="0.25">
      <c r="B144" s="869"/>
      <c r="C144" s="862"/>
      <c r="D144" s="861"/>
      <c r="E144" s="861"/>
    </row>
    <row r="145" spans="2:5" s="125" customFormat="1" x14ac:dyDescent="0.25">
      <c r="B145" s="869" t="s">
        <v>1287</v>
      </c>
      <c r="C145" s="863">
        <f>'Rate Cap - Model Budget'!C4</f>
        <v>0.02</v>
      </c>
      <c r="D145" s="861"/>
      <c r="E145" s="861"/>
    </row>
    <row r="146" spans="2:5" s="125" customFormat="1" x14ac:dyDescent="0.25">
      <c r="B146" s="869"/>
      <c r="C146" s="862"/>
      <c r="D146" s="861"/>
      <c r="E146" s="861"/>
    </row>
    <row r="147" spans="2:5" s="125" customFormat="1" x14ac:dyDescent="0.25">
      <c r="B147" s="869" t="s">
        <v>1245</v>
      </c>
      <c r="C147" s="862">
        <f>'Rate Cap - Model Budget'!L22</f>
        <v>644.5246232711529</v>
      </c>
      <c r="D147" s="861"/>
      <c r="E147" s="861"/>
    </row>
    <row r="148" spans="2:5" s="125" customFormat="1" x14ac:dyDescent="0.25">
      <c r="B148" s="869"/>
      <c r="C148" s="862"/>
      <c r="D148" s="861"/>
      <c r="E148" s="861"/>
    </row>
    <row r="149" spans="2:5" s="125" customFormat="1" x14ac:dyDescent="0.25">
      <c r="B149" s="869" t="s">
        <v>1420</v>
      </c>
      <c r="C149" s="864">
        <f>'Rate Cap - Model Budget'!L27</f>
        <v>36801066.939536288</v>
      </c>
      <c r="D149" s="861"/>
      <c r="E149" s="861"/>
    </row>
    <row r="150" spans="2:5" s="125" customFormat="1" x14ac:dyDescent="0.25">
      <c r="B150" s="869"/>
      <c r="C150" s="861"/>
      <c r="D150" s="861"/>
      <c r="E150" s="861"/>
    </row>
    <row r="151" spans="2:5" s="125" customFormat="1" x14ac:dyDescent="0.25">
      <c r="B151" s="869" t="s">
        <v>1262</v>
      </c>
      <c r="C151" s="864">
        <f>(D74+D75)*1000</f>
        <v>36750696</v>
      </c>
      <c r="D151" s="865"/>
      <c r="E151" s="861"/>
    </row>
    <row r="152" spans="2:5" s="759" customFormat="1" x14ac:dyDescent="0.25">
      <c r="B152" s="757"/>
      <c r="C152" s="340"/>
      <c r="D152" s="340"/>
      <c r="E152" s="340"/>
    </row>
    <row r="153" spans="2:5" s="759" customFormat="1" x14ac:dyDescent="0.25">
      <c r="B153" s="757"/>
      <c r="C153" s="340"/>
      <c r="D153" s="340"/>
      <c r="E153" s="340"/>
    </row>
    <row r="154" spans="2:5" s="759" customFormat="1" x14ac:dyDescent="0.25">
      <c r="B154" s="757"/>
      <c r="C154" s="340"/>
      <c r="D154" s="340"/>
      <c r="E154" s="340"/>
    </row>
  </sheetData>
  <mergeCells count="71">
    <mergeCell ref="B105:E105"/>
    <mergeCell ref="B106:E106"/>
    <mergeCell ref="B108:E108"/>
    <mergeCell ref="B104:E104"/>
    <mergeCell ref="B12:E12"/>
    <mergeCell ref="B13:B14"/>
    <mergeCell ref="B20:B21"/>
    <mergeCell ref="B28:B29"/>
    <mergeCell ref="B52:B53"/>
    <mergeCell ref="B85:E85"/>
    <mergeCell ref="B19:E19"/>
    <mergeCell ref="B56:E56"/>
    <mergeCell ref="B35:E35"/>
    <mergeCell ref="B27:E27"/>
    <mergeCell ref="B84:E84"/>
    <mergeCell ref="B82:E82"/>
    <mergeCell ref="A88:A138"/>
    <mergeCell ref="B94:E94"/>
    <mergeCell ref="B96:E96"/>
    <mergeCell ref="B126:E126"/>
    <mergeCell ref="B119:E119"/>
    <mergeCell ref="B120:E120"/>
    <mergeCell ref="B121:E121"/>
    <mergeCell ref="B123:E123"/>
    <mergeCell ref="B116:E116"/>
    <mergeCell ref="B118:E118"/>
    <mergeCell ref="B124:E124"/>
    <mergeCell ref="B125:E125"/>
    <mergeCell ref="B103:E103"/>
    <mergeCell ref="B100:E100"/>
    <mergeCell ref="B99:E99"/>
    <mergeCell ref="B101:E101"/>
    <mergeCell ref="B92:E92"/>
    <mergeCell ref="B83:E83"/>
    <mergeCell ref="B86:E86"/>
    <mergeCell ref="B90:E90"/>
    <mergeCell ref="B91:E91"/>
    <mergeCell ref="B138:E138"/>
    <mergeCell ref="B128:E128"/>
    <mergeCell ref="B130:E130"/>
    <mergeCell ref="B132:E132"/>
    <mergeCell ref="B134:E134"/>
    <mergeCell ref="B136:E136"/>
    <mergeCell ref="B3:E3"/>
    <mergeCell ref="B6:E6"/>
    <mergeCell ref="B71:E71"/>
    <mergeCell ref="B57:B59"/>
    <mergeCell ref="B64:E64"/>
    <mergeCell ref="B65:B66"/>
    <mergeCell ref="B45:E45"/>
    <mergeCell ref="B51:E51"/>
    <mergeCell ref="B38:B39"/>
    <mergeCell ref="B37:E37"/>
    <mergeCell ref="B10:E10"/>
    <mergeCell ref="B8:E8"/>
    <mergeCell ref="B141:E141"/>
    <mergeCell ref="A13:A17"/>
    <mergeCell ref="A20:A25"/>
    <mergeCell ref="A28:A33"/>
    <mergeCell ref="A38:A43"/>
    <mergeCell ref="A81:A85"/>
    <mergeCell ref="A46:A49"/>
    <mergeCell ref="A52:A54"/>
    <mergeCell ref="A57:A62"/>
    <mergeCell ref="A65:A69"/>
    <mergeCell ref="A72:A79"/>
    <mergeCell ref="B110:E110"/>
    <mergeCell ref="B112:E112"/>
    <mergeCell ref="B114:E114"/>
    <mergeCell ref="B81:E81"/>
    <mergeCell ref="B72:B73"/>
  </mergeCells>
  <phoneticPr fontId="11" type="noConversion"/>
  <pageMargins left="0.74803149606299213" right="0.74803149606299213" top="0.98425196850393704" bottom="0.98425196850393704" header="0.51181102362204722" footer="0.51181102362204722"/>
  <pageSetup paperSize="9" firstPageNumber="42" fitToHeight="0" orientation="portrait" useFirstPageNumber="1" r:id="rId1"/>
  <headerFooter alignWithMargins="0">
    <oddFooter>&amp;L&amp;8Chartered Accountants Australia New Zealand&amp;C&amp;9&amp;P&amp;R&amp;8VICTORIAN CITY COUNCIL</oddFooter>
  </headerFooter>
  <rowBreaks count="2" manualBreakCount="2">
    <brk id="80" min="1" max="4" man="1"/>
    <brk id="117" min="1"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Normal="100" zoomScaleSheetLayoutView="100" workbookViewId="0">
      <selection activeCell="A40" sqref="A40"/>
    </sheetView>
  </sheetViews>
  <sheetFormatPr defaultColWidth="9.109375" defaultRowHeight="13.2" x14ac:dyDescent="0.25"/>
  <cols>
    <col min="1" max="1" width="12" style="218" customWidth="1"/>
    <col min="2" max="2" width="9.109375" style="21" customWidth="1"/>
    <col min="3" max="3" width="35.33203125" style="17" customWidth="1"/>
    <col min="4" max="5" width="12" style="17" customWidth="1"/>
    <col min="6" max="6" width="7.6640625" style="17" customWidth="1"/>
    <col min="7" max="7" width="10.5546875" style="218" customWidth="1"/>
    <col min="8" max="8" width="41.5546875" style="218" bestFit="1" customWidth="1"/>
    <col min="9" max="16384" width="9.109375" style="218"/>
  </cols>
  <sheetData>
    <row r="1" spans="1:6" ht="16.8" x14ac:dyDescent="0.3">
      <c r="A1" s="330" t="s">
        <v>882</v>
      </c>
      <c r="B1" s="3"/>
      <c r="C1" s="3"/>
    </row>
    <row r="2" spans="1:6" s="268" customFormat="1" ht="12.75" customHeight="1" x14ac:dyDescent="0.25">
      <c r="A2" s="262"/>
      <c r="B2" s="201"/>
      <c r="C2" s="201"/>
      <c r="D2" s="554"/>
      <c r="E2" s="554"/>
      <c r="F2" s="554"/>
    </row>
    <row r="3" spans="1:6" s="268" customFormat="1" ht="25.5" customHeight="1" x14ac:dyDescent="0.25">
      <c r="A3" s="1084" t="s">
        <v>1355</v>
      </c>
      <c r="B3" s="1085"/>
      <c r="C3" s="1085"/>
      <c r="D3" s="1085"/>
      <c r="E3" s="1085"/>
      <c r="F3" s="1085"/>
    </row>
    <row r="4" spans="1:6" s="268" customFormat="1" ht="12.75" customHeight="1" x14ac:dyDescent="0.25">
      <c r="A4" s="262"/>
      <c r="B4" s="201"/>
      <c r="C4" s="201"/>
      <c r="D4" s="554"/>
      <c r="E4" s="554"/>
      <c r="F4" s="554"/>
    </row>
    <row r="5" spans="1:6" s="268" customFormat="1" x14ac:dyDescent="0.25">
      <c r="A5" s="944" t="s">
        <v>883</v>
      </c>
      <c r="B5" s="942"/>
      <c r="C5" s="942"/>
      <c r="D5" s="942"/>
      <c r="E5" s="942"/>
      <c r="F5" s="942"/>
    </row>
    <row r="6" spans="1:6" s="268" customFormat="1" ht="12.75" customHeight="1" x14ac:dyDescent="0.25">
      <c r="A6" s="942" t="s">
        <v>885</v>
      </c>
      <c r="B6" s="942"/>
      <c r="C6" s="942"/>
      <c r="D6" s="942"/>
      <c r="E6" s="942"/>
      <c r="F6" s="942"/>
    </row>
    <row r="7" spans="1:6" s="268" customFormat="1" x14ac:dyDescent="0.25">
      <c r="A7" s="942" t="s">
        <v>886</v>
      </c>
      <c r="B7" s="942"/>
      <c r="C7" s="942"/>
      <c r="D7" s="942"/>
      <c r="E7" s="942"/>
      <c r="F7" s="942"/>
    </row>
    <row r="8" spans="1:6" s="268" customFormat="1" ht="12.75" customHeight="1" x14ac:dyDescent="0.25">
      <c r="A8" s="942" t="s">
        <v>1356</v>
      </c>
      <c r="B8" s="942"/>
      <c r="C8" s="942"/>
      <c r="D8" s="942"/>
      <c r="E8" s="942"/>
      <c r="F8" s="942"/>
    </row>
    <row r="9" spans="1:6" s="268" customFormat="1" x14ac:dyDescent="0.25">
      <c r="A9" s="942" t="s">
        <v>887</v>
      </c>
      <c r="B9" s="942"/>
      <c r="C9" s="942"/>
      <c r="D9" s="942"/>
      <c r="E9" s="942"/>
      <c r="F9" s="942"/>
    </row>
    <row r="10" spans="1:6" s="268" customFormat="1" x14ac:dyDescent="0.25">
      <c r="A10" s="942" t="s">
        <v>1357</v>
      </c>
      <c r="B10" s="942"/>
      <c r="C10" s="942"/>
      <c r="D10" s="942"/>
      <c r="E10" s="942"/>
      <c r="F10" s="942"/>
    </row>
    <row r="11" spans="1:6" s="268" customFormat="1" x14ac:dyDescent="0.25">
      <c r="A11" s="942" t="s">
        <v>888</v>
      </c>
      <c r="B11" s="942"/>
      <c r="C11" s="942"/>
      <c r="D11" s="942"/>
      <c r="E11" s="942"/>
      <c r="F11" s="942"/>
    </row>
    <row r="12" spans="1:6" s="268" customFormat="1" ht="12.75" customHeight="1" x14ac:dyDescent="0.25">
      <c r="A12" s="942" t="s">
        <v>884</v>
      </c>
      <c r="B12" s="942"/>
      <c r="C12" s="942"/>
      <c r="D12" s="942"/>
      <c r="E12" s="942"/>
      <c r="F12" s="942"/>
    </row>
    <row r="13" spans="1:6" s="268" customFormat="1" ht="12.75" customHeight="1" x14ac:dyDescent="0.25">
      <c r="A13" s="942" t="s">
        <v>983</v>
      </c>
      <c r="B13" s="942"/>
      <c r="C13" s="942"/>
      <c r="D13" s="942"/>
      <c r="E13" s="942"/>
      <c r="F13" s="942"/>
    </row>
    <row r="14" spans="1:6" s="268" customFormat="1" x14ac:dyDescent="0.25">
      <c r="A14" s="942" t="s">
        <v>889</v>
      </c>
      <c r="B14" s="942"/>
      <c r="C14" s="554"/>
      <c r="D14" s="554"/>
      <c r="E14" s="554"/>
      <c r="F14" s="554"/>
    </row>
    <row r="15" spans="1:6" s="268" customFormat="1" x14ac:dyDescent="0.25">
      <c r="A15" s="201"/>
      <c r="B15" s="556"/>
      <c r="C15" s="554"/>
      <c r="D15" s="554"/>
      <c r="E15" s="554"/>
      <c r="F15" s="554"/>
    </row>
    <row r="16" spans="1:6" s="268" customFormat="1" x14ac:dyDescent="0.25">
      <c r="A16" s="201"/>
      <c r="B16" s="556"/>
      <c r="C16" s="554"/>
      <c r="D16" s="554"/>
      <c r="E16" s="554"/>
      <c r="F16" s="554"/>
    </row>
    <row r="17" spans="1:7" s="268" customFormat="1" x14ac:dyDescent="0.25">
      <c r="A17" s="201"/>
      <c r="B17" s="556"/>
      <c r="C17" s="554"/>
      <c r="D17" s="554"/>
      <c r="E17" s="554"/>
      <c r="F17" s="554"/>
    </row>
    <row r="18" spans="1:7" s="268" customFormat="1" x14ac:dyDescent="0.25">
      <c r="A18" s="201"/>
      <c r="B18" s="556"/>
      <c r="C18" s="554"/>
      <c r="D18" s="554"/>
      <c r="E18" s="554"/>
      <c r="F18" s="554"/>
    </row>
    <row r="19" spans="1:7" x14ac:dyDescent="0.25">
      <c r="A19" s="3"/>
    </row>
    <row r="20" spans="1:7" x14ac:dyDescent="0.25">
      <c r="A20" s="9"/>
    </row>
    <row r="21" spans="1:7" ht="3.75" customHeight="1" x14ac:dyDescent="0.25">
      <c r="A21" s="3"/>
    </row>
    <row r="22" spans="1:7" ht="17.399999999999999" customHeight="1" x14ac:dyDescent="0.25">
      <c r="A22" s="1083" t="s">
        <v>1246</v>
      </c>
      <c r="B22" s="1083"/>
      <c r="C22" s="1083"/>
      <c r="D22" s="1083"/>
      <c r="E22" s="1083"/>
      <c r="F22" s="1083"/>
      <c r="G22" s="268"/>
    </row>
    <row r="23" spans="1:7" ht="26.25" customHeight="1" x14ac:dyDescent="0.25">
      <c r="A23" s="1083"/>
      <c r="B23" s="1083"/>
      <c r="C23" s="1083"/>
      <c r="D23" s="1083"/>
      <c r="E23" s="1083"/>
      <c r="F23" s="1083"/>
    </row>
    <row r="24" spans="1:7" x14ac:dyDescent="0.25">
      <c r="A24" s="1083"/>
      <c r="B24" s="1083"/>
      <c r="C24" s="1083"/>
      <c r="D24" s="1083"/>
      <c r="E24" s="1083"/>
      <c r="F24" s="1083"/>
    </row>
    <row r="25" spans="1:7" x14ac:dyDescent="0.25">
      <c r="A25" s="3"/>
    </row>
    <row r="26" spans="1:7" x14ac:dyDescent="0.25">
      <c r="A26" s="3"/>
    </row>
    <row r="27" spans="1:7" x14ac:dyDescent="0.25">
      <c r="A27" s="3"/>
    </row>
    <row r="28" spans="1:7" x14ac:dyDescent="0.25">
      <c r="A28" s="3"/>
    </row>
    <row r="29" spans="1:7" x14ac:dyDescent="0.25">
      <c r="A29" s="3"/>
    </row>
    <row r="30" spans="1:7" x14ac:dyDescent="0.25">
      <c r="A30" s="3"/>
    </row>
    <row r="31" spans="1:7" x14ac:dyDescent="0.25">
      <c r="A31" s="3"/>
    </row>
    <row r="32" spans="1:7"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row r="40" spans="1:1" x14ac:dyDescent="0.25">
      <c r="A40" s="3"/>
    </row>
    <row r="41" spans="1:1" x14ac:dyDescent="0.25">
      <c r="A41" s="3"/>
    </row>
    <row r="42" spans="1:1" x14ac:dyDescent="0.25">
      <c r="A42" s="3"/>
    </row>
    <row r="43" spans="1:1" x14ac:dyDescent="0.25">
      <c r="A43" s="3"/>
    </row>
    <row r="44" spans="1:1" x14ac:dyDescent="0.25">
      <c r="A44" s="3"/>
    </row>
    <row r="45" spans="1:1" x14ac:dyDescent="0.25">
      <c r="A45" s="3"/>
    </row>
    <row r="46" spans="1:1" x14ac:dyDescent="0.25">
      <c r="A46" s="3"/>
    </row>
    <row r="47" spans="1:1" x14ac:dyDescent="0.25">
      <c r="A47" s="3"/>
    </row>
    <row r="48" spans="1:1" ht="382.5" customHeight="1" x14ac:dyDescent="0.25">
      <c r="A48" s="3"/>
    </row>
    <row r="49" spans="1:1" x14ac:dyDescent="0.25">
      <c r="A49" s="3"/>
    </row>
    <row r="50" spans="1:1" x14ac:dyDescent="0.25">
      <c r="A50" s="3"/>
    </row>
    <row r="51" spans="1:1" x14ac:dyDescent="0.25">
      <c r="A51" s="3"/>
    </row>
    <row r="52" spans="1:1" x14ac:dyDescent="0.25">
      <c r="A52" s="3"/>
    </row>
    <row r="53" spans="1:1" x14ac:dyDescent="0.25">
      <c r="A53" s="3"/>
    </row>
  </sheetData>
  <mergeCells count="12">
    <mergeCell ref="A10:F10"/>
    <mergeCell ref="A3:F3"/>
    <mergeCell ref="A5:F5"/>
    <mergeCell ref="A7:F7"/>
    <mergeCell ref="A8:F8"/>
    <mergeCell ref="A9:F9"/>
    <mergeCell ref="A6:F6"/>
    <mergeCell ref="A11:F11"/>
    <mergeCell ref="A14:B14"/>
    <mergeCell ref="A22:F24"/>
    <mergeCell ref="A12:F12"/>
    <mergeCell ref="A13:F13"/>
  </mergeCells>
  <pageMargins left="0.74803149606299213" right="0.74803149606299213" top="0.98425196850393704" bottom="0.98425196850393704" header="0.51181102362204722" footer="0.51181102362204722"/>
  <pageSetup paperSize="9" firstPageNumber="46" orientation="portrait" useFirstPageNumber="1" r:id="rId1"/>
  <headerFooter alignWithMargins="0">
    <oddFooter>&amp;L&amp;8Chartered Accountants Australia New Zealand&amp;C&amp;9&amp;P&amp;R&amp;8VICTORIAN CITY COUNCIL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view="pageBreakPreview" topLeftCell="A45" zoomScaleNormal="100" zoomScaleSheetLayoutView="100" zoomScalePageLayoutView="85" workbookViewId="0">
      <selection activeCell="A40" sqref="A40"/>
    </sheetView>
  </sheetViews>
  <sheetFormatPr defaultColWidth="9.109375" defaultRowHeight="13.2" x14ac:dyDescent="0.25"/>
  <cols>
    <col min="1" max="1" width="87.6640625" style="206" customWidth="1"/>
    <col min="2" max="2" width="9.109375" style="287" customWidth="1"/>
    <col min="3" max="3" width="12.33203125" style="378" bestFit="1" customWidth="1"/>
    <col min="4" max="4" width="13.88671875" style="558" bestFit="1" customWidth="1"/>
    <col min="5" max="10" width="9.109375" style="558"/>
    <col min="11" max="12" width="9.109375" style="378"/>
    <col min="13" max="16" width="9.109375" style="126"/>
    <col min="17" max="16384" width="9.109375" style="206"/>
  </cols>
  <sheetData>
    <row r="1" spans="1:16" ht="15.6" x14ac:dyDescent="0.25">
      <c r="A1" s="557" t="s">
        <v>890</v>
      </c>
      <c r="B1" s="557"/>
      <c r="M1" s="63"/>
      <c r="N1" s="63"/>
      <c r="O1" s="63"/>
      <c r="P1" s="63"/>
    </row>
    <row r="2" spans="1:16" s="63" customFormat="1" ht="12.75" customHeight="1" x14ac:dyDescent="0.25">
      <c r="A2" s="83"/>
      <c r="B2" s="83"/>
      <c r="C2" s="378"/>
      <c r="D2" s="558"/>
      <c r="E2" s="558"/>
      <c r="F2" s="558"/>
      <c r="G2" s="558"/>
      <c r="H2" s="558"/>
      <c r="I2" s="558"/>
      <c r="J2" s="558"/>
      <c r="K2" s="378"/>
      <c r="L2" s="378"/>
    </row>
    <row r="3" spans="1:16" s="63" customFormat="1" ht="51" customHeight="1" x14ac:dyDescent="0.25">
      <c r="A3" s="891" t="s">
        <v>1358</v>
      </c>
      <c r="B3" s="294"/>
      <c r="C3" s="378"/>
      <c r="D3" s="558"/>
      <c r="E3" s="558"/>
      <c r="F3" s="558"/>
      <c r="G3" s="558"/>
      <c r="H3" s="558"/>
      <c r="I3" s="558"/>
      <c r="J3" s="558"/>
      <c r="K3" s="378"/>
      <c r="L3" s="378"/>
    </row>
    <row r="4" spans="1:16" s="63" customFormat="1" x14ac:dyDescent="0.25">
      <c r="A4" s="294"/>
      <c r="B4" s="294"/>
      <c r="C4" s="378"/>
      <c r="D4" s="558"/>
      <c r="E4" s="558"/>
      <c r="F4" s="558"/>
      <c r="G4" s="558"/>
      <c r="H4" s="558"/>
      <c r="I4" s="558"/>
      <c r="J4" s="558"/>
      <c r="K4" s="378"/>
      <c r="L4" s="378"/>
    </row>
    <row r="5" spans="1:16" s="63" customFormat="1" x14ac:dyDescent="0.25">
      <c r="A5" s="300" t="s">
        <v>1123</v>
      </c>
      <c r="B5" s="300"/>
      <c r="C5" s="378"/>
      <c r="D5" s="558"/>
      <c r="E5" s="558"/>
      <c r="F5" s="558"/>
      <c r="G5" s="558"/>
      <c r="H5" s="558"/>
      <c r="I5" s="558"/>
      <c r="J5" s="558"/>
      <c r="K5" s="378"/>
      <c r="L5" s="378"/>
    </row>
    <row r="6" spans="1:16" s="63" customFormat="1" ht="12.75" customHeight="1" x14ac:dyDescent="0.25">
      <c r="A6" s="83"/>
      <c r="B6" s="83"/>
      <c r="C6" s="378"/>
      <c r="D6" s="558"/>
      <c r="E6" s="558"/>
      <c r="F6" s="558"/>
      <c r="G6" s="558"/>
      <c r="H6" s="558"/>
      <c r="I6" s="558"/>
      <c r="J6" s="558"/>
      <c r="K6" s="378"/>
      <c r="L6" s="378"/>
    </row>
    <row r="7" spans="1:16" s="63" customFormat="1" x14ac:dyDescent="0.25">
      <c r="A7" s="293" t="s">
        <v>991</v>
      </c>
      <c r="B7" s="293"/>
      <c r="C7" s="378"/>
      <c r="D7" s="558"/>
      <c r="E7" s="558"/>
      <c r="F7" s="558"/>
      <c r="G7" s="558"/>
      <c r="H7" s="558"/>
      <c r="I7" s="558"/>
      <c r="J7" s="558"/>
      <c r="K7" s="378"/>
      <c r="L7" s="378"/>
    </row>
    <row r="8" spans="1:16" s="63" customFormat="1" ht="165" customHeight="1" x14ac:dyDescent="0.25">
      <c r="A8" s="83"/>
      <c r="B8" s="83"/>
      <c r="C8" s="378"/>
      <c r="D8" s="559" t="s">
        <v>78</v>
      </c>
      <c r="E8" s="560" t="s">
        <v>1066</v>
      </c>
      <c r="F8" s="561" t="s">
        <v>1067</v>
      </c>
      <c r="G8" s="561" t="s">
        <v>1068</v>
      </c>
      <c r="H8" s="561" t="s">
        <v>735</v>
      </c>
      <c r="I8" s="561" t="s">
        <v>813</v>
      </c>
      <c r="J8" s="561" t="s">
        <v>1069</v>
      </c>
      <c r="K8" s="561"/>
      <c r="L8" s="378"/>
    </row>
    <row r="9" spans="1:16" s="63" customFormat="1" ht="102" customHeight="1" x14ac:dyDescent="0.25">
      <c r="A9" s="901" t="s">
        <v>1415</v>
      </c>
      <c r="B9" s="280"/>
      <c r="C9" s="562" t="s">
        <v>73</v>
      </c>
      <c r="D9" s="563">
        <v>40.299999999999997</v>
      </c>
      <c r="E9" s="563">
        <f>+'3'!C177/1000</f>
        <v>41.9</v>
      </c>
      <c r="F9" s="563">
        <f>+'3'!D177/1000</f>
        <v>43.356999999999999</v>
      </c>
      <c r="G9" s="563">
        <f>+'3'!E177/1000</f>
        <v>46.173000000000002</v>
      </c>
      <c r="H9" s="563">
        <f>+'3'!F177/1000</f>
        <v>48.625</v>
      </c>
      <c r="I9" s="563">
        <f>+'3'!G177/1000</f>
        <v>51.162999999999997</v>
      </c>
      <c r="J9" s="558"/>
      <c r="K9" s="378"/>
      <c r="L9" s="378"/>
    </row>
    <row r="10" spans="1:16" s="63" customFormat="1" x14ac:dyDescent="0.25">
      <c r="A10" s="83"/>
      <c r="B10" s="83"/>
      <c r="C10" s="378"/>
      <c r="D10" s="558"/>
      <c r="E10" s="558"/>
      <c r="F10" s="558"/>
      <c r="G10" s="558"/>
      <c r="H10" s="558"/>
      <c r="I10" s="558"/>
      <c r="J10" s="558"/>
      <c r="K10" s="378"/>
      <c r="L10" s="378"/>
    </row>
    <row r="11" spans="1:16" s="63" customFormat="1" x14ac:dyDescent="0.25">
      <c r="A11" s="889" t="s">
        <v>1359</v>
      </c>
      <c r="B11" s="293"/>
      <c r="C11" s="378"/>
      <c r="D11" s="558"/>
      <c r="E11" s="558"/>
      <c r="F11" s="558"/>
      <c r="G11" s="558"/>
      <c r="H11" s="558"/>
      <c r="I11" s="558"/>
      <c r="J11" s="558"/>
      <c r="K11" s="378"/>
      <c r="L11" s="378"/>
    </row>
    <row r="12" spans="1:16" s="63" customFormat="1" ht="180" customHeight="1" x14ac:dyDescent="0.3">
      <c r="A12" s="83"/>
      <c r="B12" s="83"/>
      <c r="C12" s="378"/>
      <c r="D12" s="579" t="s">
        <v>78</v>
      </c>
      <c r="E12" s="580" t="str">
        <f>+$E$8</f>
        <v>A2015/16</v>
      </c>
      <c r="F12" s="580" t="str">
        <f>+$F$8</f>
        <v>F2016/17</v>
      </c>
      <c r="G12" s="580" t="str">
        <f>+$G$8</f>
        <v>B2017/18</v>
      </c>
      <c r="H12" s="580" t="str">
        <f>+$H$8</f>
        <v>SRP2018/19</v>
      </c>
      <c r="I12" s="580" t="str">
        <f>+$I$8</f>
        <v>SRP2019/20</v>
      </c>
      <c r="J12" s="580" t="str">
        <f>+$J$8</f>
        <v>SRP2020/21</v>
      </c>
      <c r="K12" s="378"/>
      <c r="L12" s="378"/>
    </row>
    <row r="13" spans="1:16" s="63" customFormat="1" ht="81" customHeight="1" x14ac:dyDescent="0.25">
      <c r="A13" s="901" t="s">
        <v>1124</v>
      </c>
      <c r="B13" s="301"/>
      <c r="C13" s="378"/>
      <c r="D13" s="564" t="s">
        <v>79</v>
      </c>
      <c r="E13" s="565">
        <v>-2.8</v>
      </c>
      <c r="F13" s="565">
        <f>+'3'!C71/1000</f>
        <v>-1.9219999999999999</v>
      </c>
      <c r="G13" s="565">
        <f>+'3'!D71/1000</f>
        <v>1.0449999999999999</v>
      </c>
      <c r="H13" s="565">
        <f>+'3'!E71/1000</f>
        <v>5.3979999999999997</v>
      </c>
      <c r="I13" s="565">
        <f>+'3'!F71/1000</f>
        <v>-1.754</v>
      </c>
      <c r="J13" s="565">
        <f>+'3'!G71/1000</f>
        <v>-1.57</v>
      </c>
      <c r="K13" s="378"/>
      <c r="L13" s="378"/>
    </row>
    <row r="14" spans="1:16" s="888" customFormat="1" x14ac:dyDescent="0.25">
      <c r="A14" s="883"/>
      <c r="B14" s="883"/>
      <c r="C14" s="378"/>
      <c r="D14" s="564"/>
      <c r="E14" s="565"/>
      <c r="F14" s="565"/>
      <c r="G14" s="565"/>
      <c r="H14" s="565"/>
      <c r="I14" s="565"/>
      <c r="J14" s="565"/>
      <c r="K14" s="378"/>
      <c r="L14" s="378"/>
    </row>
    <row r="15" spans="1:16" s="63" customFormat="1" ht="13.95" customHeight="1" x14ac:dyDescent="0.25">
      <c r="A15" s="293" t="s">
        <v>891</v>
      </c>
      <c r="B15" s="293"/>
      <c r="C15" s="378"/>
      <c r="D15" s="558"/>
      <c r="E15" s="558"/>
      <c r="F15" s="558"/>
      <c r="G15" s="558"/>
      <c r="H15" s="558"/>
      <c r="I15" s="558"/>
      <c r="J15" s="558"/>
      <c r="K15" s="378"/>
      <c r="L15" s="378"/>
    </row>
    <row r="16" spans="1:16" s="63" customFormat="1" ht="162.75" customHeight="1" x14ac:dyDescent="0.25">
      <c r="A16" s="83"/>
      <c r="B16" s="83"/>
      <c r="C16" s="378"/>
      <c r="D16" s="558"/>
      <c r="E16" s="558"/>
      <c r="F16" s="558"/>
      <c r="G16" s="558"/>
      <c r="H16" s="558"/>
      <c r="I16" s="558"/>
      <c r="J16" s="558"/>
      <c r="K16" s="378"/>
      <c r="L16" s="378"/>
    </row>
    <row r="17" spans="1:12" s="63" customFormat="1" ht="102" customHeight="1" x14ac:dyDescent="0.3">
      <c r="A17" s="134" t="s">
        <v>1360</v>
      </c>
      <c r="B17" s="124"/>
      <c r="C17" s="378"/>
      <c r="D17" s="579" t="s">
        <v>78</v>
      </c>
      <c r="E17" s="580" t="str">
        <f>+$E$8</f>
        <v>A2015/16</v>
      </c>
      <c r="F17" s="580" t="str">
        <f>+$F$8</f>
        <v>F2016/17</v>
      </c>
      <c r="G17" s="580" t="str">
        <f>+$G$8</f>
        <v>B2017/18</v>
      </c>
      <c r="H17" s="580" t="str">
        <f>+$H$8</f>
        <v>SRP2018/19</v>
      </c>
      <c r="I17" s="580" t="str">
        <f>+$I$8</f>
        <v>SRP2019/20</v>
      </c>
      <c r="J17" s="580" t="str">
        <f>+$J$8</f>
        <v>SRP2020/21</v>
      </c>
      <c r="K17" s="378"/>
      <c r="L17" s="378"/>
    </row>
    <row r="18" spans="1:12" s="63" customFormat="1" x14ac:dyDescent="0.25">
      <c r="A18" s="83"/>
      <c r="B18" s="83"/>
      <c r="C18" s="378"/>
      <c r="D18" s="564" t="s">
        <v>80</v>
      </c>
      <c r="E18" s="565">
        <v>38.5</v>
      </c>
      <c r="F18" s="565">
        <v>39.4</v>
      </c>
      <c r="G18" s="565">
        <f>+'2'!E266/1000</f>
        <v>42.603999999999999</v>
      </c>
      <c r="H18" s="565">
        <v>43.2</v>
      </c>
      <c r="I18" s="565">
        <v>44.5</v>
      </c>
      <c r="J18" s="565">
        <v>46.2</v>
      </c>
      <c r="K18" s="378"/>
      <c r="L18" s="378"/>
    </row>
    <row r="19" spans="1:12" s="63" customFormat="1" x14ac:dyDescent="0.25">
      <c r="A19" s="293" t="s">
        <v>892</v>
      </c>
      <c r="B19" s="293"/>
      <c r="C19" s="378"/>
      <c r="D19" s="558"/>
      <c r="E19" s="558"/>
      <c r="F19" s="558"/>
      <c r="G19" s="558"/>
      <c r="H19" s="558"/>
      <c r="I19" s="558"/>
      <c r="J19" s="558"/>
      <c r="K19" s="378"/>
      <c r="L19" s="378"/>
    </row>
    <row r="20" spans="1:12" s="63" customFormat="1" ht="180" customHeight="1" x14ac:dyDescent="0.25">
      <c r="A20" s="83"/>
      <c r="B20" s="83"/>
      <c r="C20" s="378"/>
      <c r="D20" s="558"/>
      <c r="E20" s="558"/>
      <c r="F20" s="558"/>
      <c r="G20" s="558"/>
      <c r="H20" s="558"/>
      <c r="I20" s="558"/>
      <c r="J20" s="558"/>
      <c r="K20" s="378"/>
      <c r="L20" s="378"/>
    </row>
    <row r="21" spans="1:12" s="63" customFormat="1" x14ac:dyDescent="0.3">
      <c r="A21" s="127"/>
      <c r="B21" s="294"/>
      <c r="C21" s="378"/>
      <c r="D21" s="579" t="s">
        <v>78</v>
      </c>
      <c r="E21" s="580" t="s">
        <v>1070</v>
      </c>
      <c r="F21" s="580" t="s">
        <v>1071</v>
      </c>
      <c r="G21" s="580" t="s">
        <v>1072</v>
      </c>
      <c r="H21" s="580" t="s">
        <v>736</v>
      </c>
      <c r="I21" s="580" t="s">
        <v>814</v>
      </c>
      <c r="J21" s="580" t="s">
        <v>1073</v>
      </c>
      <c r="K21" s="378"/>
      <c r="L21" s="378"/>
    </row>
    <row r="22" spans="1:12" s="63" customFormat="1" x14ac:dyDescent="0.25">
      <c r="A22" s="83" t="s">
        <v>1048</v>
      </c>
      <c r="B22" s="83"/>
      <c r="C22" s="378"/>
      <c r="D22" s="564" t="s">
        <v>81</v>
      </c>
      <c r="E22" s="565">
        <v>31.6</v>
      </c>
      <c r="F22" s="565">
        <f>+'3'!C83/1000</f>
        <v>23.475999999999999</v>
      </c>
      <c r="G22" s="565">
        <f>+'3'!D83/1000</f>
        <v>12.207000000000001</v>
      </c>
      <c r="H22" s="565">
        <f>+'3'!E83/1000</f>
        <v>12.428000000000001</v>
      </c>
      <c r="I22" s="565">
        <f>+'3'!F83/1000</f>
        <v>12.776</v>
      </c>
      <c r="J22" s="565">
        <f>+'3'!G83/1000</f>
        <v>13.028</v>
      </c>
      <c r="K22" s="378"/>
      <c r="L22" s="378"/>
    </row>
    <row r="23" spans="1:12" s="63" customFormat="1" x14ac:dyDescent="0.25">
      <c r="A23" s="83"/>
      <c r="B23" s="83"/>
      <c r="C23" s="378"/>
      <c r="D23" s="564"/>
      <c r="E23" s="565"/>
      <c r="F23" s="565"/>
      <c r="G23" s="565"/>
      <c r="H23" s="565"/>
      <c r="I23" s="565"/>
      <c r="J23" s="565"/>
      <c r="K23" s="378"/>
      <c r="L23" s="378"/>
    </row>
    <row r="24" spans="1:12" s="63" customFormat="1" x14ac:dyDescent="0.25">
      <c r="A24" s="293" t="s">
        <v>893</v>
      </c>
      <c r="B24" s="293"/>
      <c r="C24" s="378"/>
      <c r="D24" s="558"/>
      <c r="E24" s="558"/>
      <c r="F24" s="558"/>
      <c r="G24" s="558"/>
      <c r="H24" s="558"/>
      <c r="I24" s="558"/>
      <c r="J24" s="558"/>
      <c r="K24" s="378"/>
      <c r="L24" s="378"/>
    </row>
    <row r="25" spans="1:12" s="63" customFormat="1" ht="180" customHeight="1" x14ac:dyDescent="0.25">
      <c r="A25" s="83"/>
      <c r="B25" s="83"/>
      <c r="C25" s="378"/>
      <c r="D25" s="558"/>
      <c r="E25" s="558"/>
      <c r="F25" s="558"/>
      <c r="G25" s="558"/>
      <c r="H25" s="558"/>
      <c r="I25" s="558"/>
      <c r="J25" s="558"/>
      <c r="K25" s="378"/>
      <c r="L25" s="378"/>
    </row>
    <row r="26" spans="1:12" s="63" customFormat="1" ht="132" customHeight="1" x14ac:dyDescent="0.3">
      <c r="A26" s="294" t="s">
        <v>1125</v>
      </c>
      <c r="B26" s="294"/>
      <c r="C26" s="378"/>
      <c r="D26" s="579" t="s">
        <v>78</v>
      </c>
      <c r="E26" s="580" t="str">
        <f>+$E$8</f>
        <v>A2015/16</v>
      </c>
      <c r="F26" s="580" t="str">
        <f>+$F$8</f>
        <v>F2016/17</v>
      </c>
      <c r="G26" s="580" t="str">
        <f>+$G$8</f>
        <v>B2017/18</v>
      </c>
      <c r="H26" s="580" t="str">
        <f>+$H$8</f>
        <v>SRP2018/19</v>
      </c>
      <c r="I26" s="580" t="str">
        <f>+$I$8</f>
        <v>SRP2019/20</v>
      </c>
      <c r="J26" s="580" t="str">
        <f>+$J$8</f>
        <v>SRP2020/21</v>
      </c>
      <c r="K26" s="378"/>
      <c r="L26" s="378"/>
    </row>
    <row r="27" spans="1:12" s="63" customFormat="1" x14ac:dyDescent="0.25">
      <c r="A27" s="272"/>
      <c r="B27" s="272"/>
      <c r="C27" s="378"/>
      <c r="D27" s="564" t="s">
        <v>82</v>
      </c>
      <c r="E27" s="565">
        <v>28.5</v>
      </c>
      <c r="F27" s="565">
        <f>+'3'!C254/1000</f>
        <v>22.617000000000001</v>
      </c>
      <c r="G27" s="565">
        <f>+'3'!D254/1000</f>
        <v>30.716999999999999</v>
      </c>
      <c r="H27" s="565">
        <f>+'3'!E254/1000</f>
        <v>23.242000000000001</v>
      </c>
      <c r="I27" s="565">
        <f>+'3'!F254/1000</f>
        <v>18.53</v>
      </c>
      <c r="J27" s="565">
        <f>+'3'!G254/1000</f>
        <v>17.349</v>
      </c>
      <c r="K27" s="378"/>
      <c r="L27" s="378"/>
    </row>
    <row r="28" spans="1:12" s="63" customFormat="1" ht="26.4" customHeight="1" x14ac:dyDescent="0.25">
      <c r="A28" s="294" t="s">
        <v>92</v>
      </c>
      <c r="B28" s="294"/>
      <c r="C28" s="378"/>
      <c r="D28" s="558"/>
      <c r="E28" s="558"/>
      <c r="F28" s="558"/>
      <c r="G28" s="558"/>
      <c r="H28" s="558"/>
      <c r="I28" s="558"/>
      <c r="J28" s="558"/>
      <c r="K28" s="378"/>
      <c r="L28" s="378"/>
    </row>
    <row r="29" spans="1:12" s="63" customFormat="1" x14ac:dyDescent="0.25">
      <c r="A29" s="272"/>
      <c r="B29" s="272"/>
      <c r="C29" s="378"/>
      <c r="D29" s="558"/>
      <c r="E29" s="558"/>
      <c r="F29" s="558"/>
      <c r="G29" s="558"/>
      <c r="H29" s="558"/>
      <c r="I29" s="558"/>
      <c r="J29" s="558"/>
      <c r="K29" s="378"/>
      <c r="L29" s="378"/>
    </row>
    <row r="30" spans="1:12" s="63" customFormat="1" ht="180" customHeight="1" x14ac:dyDescent="0.25">
      <c r="A30" s="294"/>
      <c r="B30" s="294"/>
      <c r="C30" s="378"/>
      <c r="D30" s="558"/>
      <c r="E30" s="558"/>
      <c r="F30" s="558"/>
      <c r="G30" s="558"/>
      <c r="H30" s="558"/>
      <c r="I30" s="558"/>
      <c r="J30" s="558"/>
      <c r="K30" s="378"/>
      <c r="L30" s="378"/>
    </row>
    <row r="31" spans="1:12" s="125" customFormat="1" ht="52.8" x14ac:dyDescent="0.25">
      <c r="A31" s="581" t="s">
        <v>1126</v>
      </c>
      <c r="B31" s="581"/>
      <c r="C31" s="558"/>
      <c r="D31" s="559" t="s">
        <v>78</v>
      </c>
      <c r="E31" s="560" t="s">
        <v>408</v>
      </c>
      <c r="F31" s="560" t="s">
        <v>409</v>
      </c>
      <c r="G31" s="560" t="s">
        <v>558</v>
      </c>
      <c r="H31" s="560" t="s">
        <v>734</v>
      </c>
      <c r="I31" s="560" t="s">
        <v>1063</v>
      </c>
      <c r="J31" s="558"/>
      <c r="K31" s="558"/>
      <c r="L31" s="558"/>
    </row>
    <row r="32" spans="1:12" s="63" customFormat="1" x14ac:dyDescent="0.25">
      <c r="A32" s="294"/>
      <c r="B32" s="294"/>
      <c r="C32" s="378"/>
      <c r="D32" s="559"/>
      <c r="E32" s="560"/>
      <c r="F32" s="560"/>
      <c r="G32" s="560"/>
      <c r="H32" s="560"/>
      <c r="I32" s="560"/>
      <c r="J32" s="378"/>
      <c r="K32" s="378"/>
      <c r="L32" s="378"/>
    </row>
    <row r="33" spans="1:12" s="63" customFormat="1" ht="26.4" customHeight="1" x14ac:dyDescent="0.25">
      <c r="A33" s="294" t="s">
        <v>1049</v>
      </c>
      <c r="B33" s="294"/>
      <c r="C33" s="378"/>
      <c r="D33" s="559"/>
      <c r="E33" s="560"/>
      <c r="F33" s="560"/>
      <c r="G33" s="560"/>
      <c r="H33" s="560"/>
      <c r="I33" s="560"/>
      <c r="J33" s="378"/>
      <c r="K33" s="378"/>
      <c r="L33" s="378"/>
    </row>
    <row r="34" spans="1:12" s="63" customFormat="1" x14ac:dyDescent="0.25">
      <c r="A34" s="83"/>
      <c r="B34" s="83"/>
      <c r="C34" s="378"/>
      <c r="D34" s="562" t="s">
        <v>39</v>
      </c>
      <c r="E34" s="566">
        <v>14034</v>
      </c>
      <c r="F34" s="567">
        <v>14500</v>
      </c>
      <c r="G34" s="567">
        <v>15187</v>
      </c>
      <c r="H34" s="567">
        <v>15744</v>
      </c>
      <c r="I34" s="568">
        <v>16274</v>
      </c>
      <c r="J34" s="562" t="s">
        <v>41</v>
      </c>
      <c r="K34" s="378"/>
      <c r="L34" s="378"/>
    </row>
    <row r="35" spans="1:12" s="63" customFormat="1" x14ac:dyDescent="0.25">
      <c r="A35" s="293" t="s">
        <v>894</v>
      </c>
      <c r="B35" s="293"/>
      <c r="C35" s="378"/>
      <c r="D35" s="562" t="s">
        <v>40</v>
      </c>
      <c r="E35" s="568">
        <v>12225</v>
      </c>
      <c r="F35" s="568">
        <v>17460</v>
      </c>
      <c r="G35" s="568">
        <v>15928</v>
      </c>
      <c r="H35" s="568">
        <v>13145</v>
      </c>
      <c r="I35" s="568">
        <v>13560</v>
      </c>
      <c r="J35" s="378"/>
      <c r="K35" s="378"/>
      <c r="L35" s="378"/>
    </row>
    <row r="36" spans="1:12" s="63" customFormat="1" x14ac:dyDescent="0.25">
      <c r="A36" s="83"/>
      <c r="B36" s="83"/>
      <c r="C36" s="378"/>
      <c r="D36" s="562" t="s">
        <v>38</v>
      </c>
      <c r="E36" s="568">
        <v>5000</v>
      </c>
      <c r="F36" s="569">
        <f>+E36+F34-F35</f>
        <v>2040</v>
      </c>
      <c r="G36" s="569">
        <f>+F36+G34-G35</f>
        <v>1299</v>
      </c>
      <c r="H36" s="569">
        <f>+G36+H34-H35</f>
        <v>3898</v>
      </c>
      <c r="I36" s="569">
        <f>+H36+I34-I35</f>
        <v>6612</v>
      </c>
      <c r="J36" s="378"/>
      <c r="K36" s="378"/>
      <c r="L36" s="378"/>
    </row>
    <row r="37" spans="1:12" s="63" customFormat="1" ht="180" customHeight="1" x14ac:dyDescent="0.25">
      <c r="A37" s="83"/>
      <c r="B37" s="83"/>
      <c r="C37" s="378"/>
      <c r="D37" s="558"/>
      <c r="E37" s="558"/>
      <c r="F37" s="558"/>
      <c r="G37" s="558"/>
      <c r="H37" s="558"/>
      <c r="I37" s="558"/>
      <c r="J37" s="558"/>
      <c r="K37" s="378"/>
      <c r="L37" s="378"/>
    </row>
    <row r="38" spans="1:12" s="63" customFormat="1" ht="52.8" x14ac:dyDescent="0.3">
      <c r="A38" s="294" t="s">
        <v>1127</v>
      </c>
      <c r="B38" s="294"/>
      <c r="C38" s="378"/>
      <c r="D38" s="582" t="s">
        <v>78</v>
      </c>
      <c r="E38" s="583" t="s">
        <v>1070</v>
      </c>
      <c r="F38" s="583" t="s">
        <v>1071</v>
      </c>
      <c r="G38" s="583" t="s">
        <v>1072</v>
      </c>
      <c r="H38" s="583" t="s">
        <v>736</v>
      </c>
      <c r="I38" s="583" t="s">
        <v>814</v>
      </c>
      <c r="J38" s="583" t="s">
        <v>1073</v>
      </c>
      <c r="K38" s="378"/>
      <c r="L38" s="378"/>
    </row>
    <row r="39" spans="1:12" s="63" customFormat="1" x14ac:dyDescent="0.25">
      <c r="A39" s="83"/>
      <c r="B39" s="83"/>
      <c r="C39" s="378"/>
      <c r="D39" s="564" t="s">
        <v>83</v>
      </c>
      <c r="E39" s="570">
        <v>27.7</v>
      </c>
      <c r="F39" s="570">
        <f>+('3'!C89-'3'!C106)/1000</f>
        <v>17.643000000000001</v>
      </c>
      <c r="G39" s="570">
        <f>+('3'!D89-'3'!D106)/1000</f>
        <v>5.0250000000000004</v>
      </c>
      <c r="H39" s="570">
        <f>+('3'!E89-'3'!E106)/1000</f>
        <v>5.1429999999999998</v>
      </c>
      <c r="I39" s="570">
        <f>+('3'!F89-'3'!F106)/1000</f>
        <v>5.258</v>
      </c>
      <c r="J39" s="570">
        <f>+('3'!G89-'3'!G106)/1000</f>
        <v>5.3730000000000002</v>
      </c>
      <c r="K39" s="378"/>
      <c r="L39" s="378"/>
    </row>
    <row r="40" spans="1:12" s="63" customFormat="1" x14ac:dyDescent="0.25">
      <c r="A40" s="83" t="s">
        <v>1050</v>
      </c>
      <c r="B40" s="83"/>
      <c r="C40" s="378"/>
      <c r="D40" s="564"/>
      <c r="E40" s="570"/>
      <c r="F40" s="570"/>
      <c r="G40" s="570"/>
      <c r="H40" s="570"/>
      <c r="I40" s="570"/>
      <c r="J40" s="570"/>
      <c r="K40" s="378"/>
      <c r="L40" s="378"/>
    </row>
    <row r="41" spans="1:12" s="63" customFormat="1" x14ac:dyDescent="0.25">
      <c r="A41" s="83"/>
      <c r="B41" s="83"/>
      <c r="C41" s="378"/>
      <c r="D41" s="564"/>
      <c r="E41" s="570"/>
      <c r="F41" s="570"/>
      <c r="G41" s="570"/>
      <c r="H41" s="570"/>
      <c r="I41" s="570"/>
      <c r="J41" s="570"/>
      <c r="K41" s="378"/>
      <c r="L41" s="378"/>
    </row>
    <row r="42" spans="1:12" s="63" customFormat="1" x14ac:dyDescent="0.25">
      <c r="A42" s="293" t="s">
        <v>895</v>
      </c>
      <c r="B42" s="293"/>
      <c r="C42" s="378"/>
      <c r="D42" s="558"/>
      <c r="E42" s="558"/>
      <c r="F42" s="558"/>
      <c r="G42" s="558"/>
      <c r="H42" s="558"/>
      <c r="I42" s="558"/>
      <c r="J42" s="558"/>
      <c r="K42" s="378"/>
      <c r="L42" s="378"/>
    </row>
    <row r="43" spans="1:12" s="63" customFormat="1" x14ac:dyDescent="0.25">
      <c r="A43" s="83"/>
      <c r="B43" s="83"/>
      <c r="C43" s="378"/>
      <c r="D43" s="558"/>
      <c r="E43" s="558"/>
      <c r="F43" s="558"/>
      <c r="G43" s="558"/>
      <c r="H43" s="558"/>
      <c r="I43" s="558"/>
      <c r="J43" s="558"/>
      <c r="K43" s="378"/>
      <c r="L43" s="378"/>
    </row>
    <row r="44" spans="1:12" s="63" customFormat="1" ht="180" customHeight="1" x14ac:dyDescent="0.25">
      <c r="A44" s="83"/>
      <c r="B44" s="83"/>
      <c r="C44" s="378"/>
      <c r="D44" s="558"/>
      <c r="E44" s="558"/>
      <c r="F44" s="558"/>
      <c r="G44" s="558"/>
      <c r="H44" s="558"/>
      <c r="I44" s="558"/>
      <c r="J44" s="558"/>
      <c r="K44" s="378"/>
      <c r="L44" s="378"/>
    </row>
    <row r="45" spans="1:12" s="125" customFormat="1" ht="66" x14ac:dyDescent="0.25">
      <c r="A45" s="581" t="s">
        <v>1128</v>
      </c>
      <c r="B45" s="581"/>
      <c r="C45" s="558"/>
      <c r="D45" s="559" t="s">
        <v>78</v>
      </c>
      <c r="E45" s="571" t="s">
        <v>1067</v>
      </c>
      <c r="F45" s="572" t="s">
        <v>1068</v>
      </c>
      <c r="G45" s="572" t="s">
        <v>735</v>
      </c>
      <c r="H45" s="572" t="s">
        <v>813</v>
      </c>
      <c r="I45" s="572" t="s">
        <v>1069</v>
      </c>
      <c r="J45" s="558"/>
      <c r="K45" s="558"/>
      <c r="L45" s="558"/>
    </row>
    <row r="46" spans="1:12" s="63" customFormat="1" x14ac:dyDescent="0.25">
      <c r="A46" s="294"/>
      <c r="B46" s="294"/>
      <c r="C46" s="378"/>
      <c r="D46" s="559"/>
      <c r="E46" s="571"/>
      <c r="F46" s="572"/>
      <c r="G46" s="572"/>
      <c r="H46" s="572"/>
      <c r="I46" s="572"/>
      <c r="J46" s="558"/>
      <c r="K46" s="378"/>
      <c r="L46" s="378"/>
    </row>
    <row r="47" spans="1:12" s="63" customFormat="1" x14ac:dyDescent="0.25">
      <c r="A47" s="294" t="s">
        <v>1051</v>
      </c>
      <c r="B47" s="294"/>
      <c r="C47" s="378"/>
      <c r="D47" s="559"/>
      <c r="E47" s="571"/>
      <c r="F47" s="572"/>
      <c r="G47" s="572"/>
      <c r="H47" s="572"/>
      <c r="I47" s="572"/>
      <c r="J47" s="558"/>
      <c r="K47" s="378"/>
      <c r="L47" s="378"/>
    </row>
    <row r="48" spans="1:12" s="63" customFormat="1" x14ac:dyDescent="0.25">
      <c r="A48" s="83"/>
      <c r="B48" s="83"/>
      <c r="C48" s="378"/>
      <c r="D48" s="573" t="s">
        <v>84</v>
      </c>
      <c r="E48" s="574">
        <v>-4.67</v>
      </c>
      <c r="F48" s="574">
        <v>-4.45</v>
      </c>
      <c r="G48" s="574">
        <v>-3.63</v>
      </c>
      <c r="H48" s="574">
        <v>-2.94</v>
      </c>
      <c r="I48" s="574">
        <v>-2.39</v>
      </c>
      <c r="J48" s="558"/>
      <c r="K48" s="378"/>
      <c r="L48" s="378"/>
    </row>
    <row r="49" spans="1:13" s="63" customFormat="1" x14ac:dyDescent="0.25">
      <c r="A49" s="293" t="s">
        <v>896</v>
      </c>
      <c r="B49" s="293"/>
      <c r="C49" s="378"/>
      <c r="D49" s="558"/>
      <c r="E49" s="558"/>
      <c r="F49" s="558"/>
      <c r="G49" s="558"/>
      <c r="H49" s="558"/>
      <c r="I49" s="558"/>
      <c r="J49" s="558"/>
      <c r="K49" s="378"/>
      <c r="L49" s="378"/>
    </row>
    <row r="50" spans="1:13" s="63" customFormat="1" x14ac:dyDescent="0.25">
      <c r="A50" s="83"/>
      <c r="B50" s="83"/>
      <c r="C50" s="378"/>
      <c r="D50" s="558"/>
      <c r="E50" s="558"/>
      <c r="F50" s="558"/>
      <c r="G50" s="558"/>
      <c r="H50" s="558"/>
      <c r="I50" s="558"/>
      <c r="J50" s="558"/>
      <c r="K50" s="378"/>
      <c r="L50" s="378"/>
    </row>
    <row r="51" spans="1:13" s="63" customFormat="1" ht="170.25" customHeight="1" x14ac:dyDescent="0.25">
      <c r="A51" s="83"/>
      <c r="B51" s="83"/>
      <c r="C51" s="378"/>
      <c r="D51" s="559" t="s">
        <v>78</v>
      </c>
      <c r="E51" s="575" t="s">
        <v>85</v>
      </c>
      <c r="F51" s="575" t="s">
        <v>86</v>
      </c>
      <c r="G51" s="575" t="s">
        <v>87</v>
      </c>
      <c r="H51" s="575" t="s">
        <v>88</v>
      </c>
      <c r="I51" s="576" t="s">
        <v>300</v>
      </c>
      <c r="J51" s="576" t="s">
        <v>89</v>
      </c>
      <c r="K51" s="378"/>
      <c r="L51" s="378"/>
    </row>
    <row r="52" spans="1:13" s="63" customFormat="1" ht="51" customHeight="1" x14ac:dyDescent="0.25">
      <c r="A52" s="294" t="s">
        <v>1361</v>
      </c>
      <c r="B52" s="294"/>
      <c r="C52" s="378"/>
      <c r="D52" s="564" t="s">
        <v>1114</v>
      </c>
      <c r="E52" s="564">
        <v>3.12</v>
      </c>
      <c r="F52" s="564">
        <v>12.27</v>
      </c>
      <c r="G52" s="564">
        <v>0.56999999999999995</v>
      </c>
      <c r="H52" s="564">
        <v>5.56</v>
      </c>
      <c r="I52" s="564">
        <v>2.4500000000000002</v>
      </c>
      <c r="J52" s="564">
        <v>15.54</v>
      </c>
      <c r="K52" s="378"/>
      <c r="L52" s="378"/>
    </row>
    <row r="53" spans="1:13" s="63" customFormat="1" x14ac:dyDescent="0.25">
      <c r="A53" s="294"/>
      <c r="B53" s="294"/>
      <c r="C53" s="378"/>
      <c r="D53" s="564"/>
      <c r="E53" s="564"/>
      <c r="F53" s="564"/>
      <c r="G53" s="564"/>
      <c r="H53" s="564"/>
      <c r="I53" s="564"/>
      <c r="J53" s="564"/>
      <c r="K53" s="378"/>
      <c r="L53" s="378"/>
    </row>
    <row r="54" spans="1:13" s="63" customFormat="1" x14ac:dyDescent="0.25">
      <c r="A54" s="294" t="s">
        <v>1052</v>
      </c>
      <c r="B54" s="294"/>
      <c r="C54" s="378"/>
      <c r="D54" s="564"/>
      <c r="E54" s="564"/>
      <c r="F54" s="564"/>
      <c r="G54" s="564"/>
      <c r="H54" s="564"/>
      <c r="I54" s="564"/>
      <c r="J54" s="564"/>
      <c r="K54" s="378"/>
      <c r="L54" s="378"/>
    </row>
    <row r="55" spans="1:13" s="63" customFormat="1" x14ac:dyDescent="0.25">
      <c r="A55" s="280"/>
      <c r="B55" s="280"/>
      <c r="C55" s="378"/>
      <c r="D55" s="564" t="s">
        <v>1098</v>
      </c>
      <c r="E55" s="577">
        <v>3.302</v>
      </c>
      <c r="F55" s="565">
        <v>12.455</v>
      </c>
      <c r="G55" s="565">
        <v>0.53700000000000003</v>
      </c>
      <c r="H55" s="565">
        <v>5.6559999999999997</v>
      </c>
      <c r="I55" s="564">
        <v>2.72</v>
      </c>
      <c r="J55" s="564">
        <v>17.934000000000001</v>
      </c>
      <c r="K55" s="378"/>
      <c r="L55" s="378"/>
    </row>
    <row r="56" spans="1:13" s="63" customFormat="1" x14ac:dyDescent="0.25">
      <c r="A56" s="293" t="s">
        <v>897</v>
      </c>
      <c r="B56" s="293"/>
      <c r="C56" s="378"/>
      <c r="D56" s="558"/>
      <c r="E56" s="558"/>
      <c r="F56" s="558"/>
      <c r="G56" s="558"/>
      <c r="H56" s="558"/>
      <c r="I56" s="558"/>
      <c r="J56" s="558"/>
      <c r="K56" s="378"/>
      <c r="L56" s="378"/>
    </row>
    <row r="57" spans="1:13" s="63" customFormat="1" ht="180" customHeight="1" x14ac:dyDescent="0.25">
      <c r="A57" s="280"/>
      <c r="B57" s="280"/>
      <c r="C57" s="378"/>
      <c r="D57" s="559" t="s">
        <v>78</v>
      </c>
      <c r="E57" s="572" t="s">
        <v>374</v>
      </c>
      <c r="F57" s="572" t="s">
        <v>340</v>
      </c>
      <c r="G57" s="572" t="s">
        <v>375</v>
      </c>
      <c r="H57" s="572" t="s">
        <v>376</v>
      </c>
      <c r="I57" s="572" t="s">
        <v>377</v>
      </c>
      <c r="J57" s="572" t="s">
        <v>378</v>
      </c>
      <c r="K57" s="572" t="s">
        <v>379</v>
      </c>
      <c r="L57" s="572" t="s">
        <v>380</v>
      </c>
      <c r="M57" s="578" t="s">
        <v>381</v>
      </c>
    </row>
    <row r="58" spans="1:13" s="63" customFormat="1" ht="37.950000000000003" customHeight="1" x14ac:dyDescent="0.25">
      <c r="A58" s="280"/>
      <c r="B58" s="280"/>
      <c r="C58" s="378"/>
      <c r="D58" s="559"/>
      <c r="E58" s="572"/>
      <c r="F58" s="572"/>
      <c r="G58" s="572"/>
      <c r="H58" s="572"/>
      <c r="I58" s="572"/>
      <c r="J58" s="572"/>
      <c r="K58" s="572"/>
      <c r="L58" s="572"/>
      <c r="M58" s="578"/>
    </row>
    <row r="59" spans="1:13" s="63" customFormat="1" ht="52.8" x14ac:dyDescent="0.25">
      <c r="A59" s="294" t="s">
        <v>1053</v>
      </c>
      <c r="B59" s="294"/>
      <c r="C59" s="378"/>
      <c r="D59" s="558"/>
      <c r="E59" s="564">
        <v>4.58</v>
      </c>
      <c r="F59" s="564">
        <v>27.13</v>
      </c>
      <c r="G59" s="564">
        <v>14.29</v>
      </c>
      <c r="H59" s="564">
        <v>8.01</v>
      </c>
      <c r="I59" s="564">
        <v>12.19</v>
      </c>
      <c r="J59" s="564">
        <v>6.51</v>
      </c>
      <c r="K59" s="564">
        <v>9.59</v>
      </c>
      <c r="L59" s="564">
        <v>11.01</v>
      </c>
      <c r="M59" s="12">
        <v>6.69</v>
      </c>
    </row>
    <row r="60" spans="1:13" s="63" customFormat="1" x14ac:dyDescent="0.25">
      <c r="A60" s="272"/>
      <c r="B60" s="272"/>
      <c r="C60" s="378"/>
      <c r="D60" s="558"/>
      <c r="E60" s="558"/>
      <c r="F60" s="558"/>
      <c r="G60" s="558"/>
      <c r="H60" s="558"/>
      <c r="I60" s="558"/>
      <c r="J60" s="558"/>
      <c r="K60" s="378"/>
      <c r="L60" s="378"/>
    </row>
    <row r="61" spans="1:13" s="63" customFormat="1" x14ac:dyDescent="0.25">
      <c r="A61" s="272"/>
      <c r="B61" s="272"/>
      <c r="C61" s="378"/>
      <c r="D61" s="558"/>
      <c r="E61" s="558"/>
      <c r="F61" s="558"/>
      <c r="G61" s="558"/>
      <c r="H61" s="558"/>
      <c r="I61" s="558"/>
      <c r="J61" s="558"/>
      <c r="K61" s="378"/>
      <c r="L61" s="378"/>
    </row>
    <row r="62" spans="1:13" x14ac:dyDescent="0.25">
      <c r="A62" s="208"/>
      <c r="B62" s="288"/>
    </row>
    <row r="63" spans="1:13" x14ac:dyDescent="0.25">
      <c r="A63" s="208"/>
      <c r="B63" s="288"/>
    </row>
  </sheetData>
  <pageMargins left="0.74803149606299213" right="0.74803149606299213" top="0.98425196850393704" bottom="0.98425196850393704" header="0.51181102362204722" footer="0.51181102362204722"/>
  <pageSetup paperSize="9" firstPageNumber="47" orientation="portrait" useFirstPageNumber="1" r:id="rId1"/>
  <headerFooter alignWithMargins="0">
    <oddFooter>&amp;L&amp;8Chartered Accountants Australia New Zealand&amp;C&amp;9&amp;P&amp;R&amp;8VICTORIAN CITY COUNCIL</oddFooter>
  </headerFooter>
  <rowBreaks count="4" manualBreakCount="4">
    <brk id="14" man="1"/>
    <brk id="23" man="1"/>
    <brk id="34" man="1"/>
    <brk id="4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view="pageBreakPreview" zoomScaleNormal="100" zoomScaleSheetLayoutView="100" workbookViewId="0">
      <selection activeCell="A40" sqref="A40"/>
    </sheetView>
  </sheetViews>
  <sheetFormatPr defaultColWidth="8.88671875" defaultRowHeight="13.2" x14ac:dyDescent="0.25"/>
  <cols>
    <col min="1" max="1" width="87.6640625" style="907" customWidth="1"/>
    <col min="2" max="2" width="9.109375" style="588" customWidth="1"/>
    <col min="3" max="16384" width="8.88671875" style="268"/>
  </cols>
  <sheetData>
    <row r="1" spans="1:2" ht="16.8" x14ac:dyDescent="0.25">
      <c r="A1" s="728" t="s">
        <v>898</v>
      </c>
      <c r="B1" s="587"/>
    </row>
    <row r="2" spans="1:2" x14ac:dyDescent="0.25">
      <c r="A2" s="897"/>
    </row>
    <row r="3" spans="1:2" ht="25.5" customHeight="1" x14ac:dyDescent="0.25">
      <c r="A3" s="907" t="s">
        <v>1362</v>
      </c>
      <c r="B3" s="589"/>
    </row>
    <row r="4" spans="1:2" ht="12.75" customHeight="1" x14ac:dyDescent="0.25">
      <c r="A4" s="897"/>
    </row>
    <row r="5" spans="1:2" x14ac:dyDescent="0.25">
      <c r="A5" s="903" t="s">
        <v>899</v>
      </c>
      <c r="B5" s="589"/>
    </row>
    <row r="6" spans="1:2" ht="39.6" x14ac:dyDescent="0.25">
      <c r="A6" s="897" t="s">
        <v>367</v>
      </c>
      <c r="B6" s="589"/>
    </row>
    <row r="7" spans="1:2" x14ac:dyDescent="0.25">
      <c r="A7" s="897"/>
    </row>
    <row r="8" spans="1:2" ht="52.8" x14ac:dyDescent="0.25">
      <c r="A8" s="897" t="s">
        <v>18</v>
      </c>
      <c r="B8" s="589"/>
    </row>
    <row r="9" spans="1:2" x14ac:dyDescent="0.25">
      <c r="A9" s="897"/>
      <c r="B9" s="10"/>
    </row>
    <row r="10" spans="1:2" x14ac:dyDescent="0.25">
      <c r="A10" s="903" t="s">
        <v>19</v>
      </c>
      <c r="B10" s="10"/>
    </row>
    <row r="11" spans="1:2" ht="26.4" x14ac:dyDescent="0.25">
      <c r="A11" s="909" t="s">
        <v>1363</v>
      </c>
      <c r="B11" s="10"/>
    </row>
    <row r="12" spans="1:2" x14ac:dyDescent="0.25">
      <c r="A12" s="897"/>
      <c r="B12" s="10"/>
    </row>
    <row r="13" spans="1:2" x14ac:dyDescent="0.25">
      <c r="A13" s="903" t="s">
        <v>20</v>
      </c>
      <c r="B13" s="10"/>
    </row>
    <row r="14" spans="1:2" ht="66" x14ac:dyDescent="0.25">
      <c r="A14" s="897" t="s">
        <v>1027</v>
      </c>
      <c r="B14" s="10"/>
    </row>
    <row r="15" spans="1:2" x14ac:dyDescent="0.25">
      <c r="A15" s="897"/>
      <c r="B15" s="10"/>
    </row>
    <row r="16" spans="1:2" x14ac:dyDescent="0.25">
      <c r="A16" s="903" t="s">
        <v>21</v>
      </c>
      <c r="B16" s="10"/>
    </row>
    <row r="17" spans="1:2" ht="39.6" x14ac:dyDescent="0.25">
      <c r="A17" s="906" t="s">
        <v>1074</v>
      </c>
      <c r="B17" s="10"/>
    </row>
    <row r="18" spans="1:2" x14ac:dyDescent="0.25">
      <c r="A18" s="897"/>
      <c r="B18" s="10"/>
    </row>
    <row r="19" spans="1:2" x14ac:dyDescent="0.25">
      <c r="A19" s="903" t="s">
        <v>22</v>
      </c>
    </row>
    <row r="20" spans="1:2" ht="26.4" x14ac:dyDescent="0.25">
      <c r="A20" s="897" t="s">
        <v>23</v>
      </c>
      <c r="B20" s="589"/>
    </row>
    <row r="21" spans="1:2" x14ac:dyDescent="0.25">
      <c r="A21" s="898"/>
    </row>
    <row r="22" spans="1:2" ht="66" x14ac:dyDescent="0.25">
      <c r="A22" s="897" t="s">
        <v>93</v>
      </c>
      <c r="B22" s="589"/>
    </row>
    <row r="23" spans="1:2" x14ac:dyDescent="0.25">
      <c r="A23" s="897"/>
      <c r="B23" s="11"/>
    </row>
    <row r="24" spans="1:2" x14ac:dyDescent="0.25">
      <c r="A24" s="903" t="s">
        <v>94</v>
      </c>
      <c r="B24" s="11"/>
    </row>
    <row r="25" spans="1:2" s="7" customFormat="1" ht="118.95" customHeight="1" x14ac:dyDescent="0.25">
      <c r="A25" s="909" t="s">
        <v>1075</v>
      </c>
      <c r="B25" s="11"/>
    </row>
    <row r="26" spans="1:2" x14ac:dyDescent="0.25">
      <c r="A26" s="897"/>
    </row>
    <row r="27" spans="1:2" x14ac:dyDescent="0.25">
      <c r="A27" s="903" t="s">
        <v>95</v>
      </c>
    </row>
    <row r="28" spans="1:2" ht="39.6" x14ac:dyDescent="0.25">
      <c r="A28" s="906" t="s">
        <v>1076</v>
      </c>
      <c r="B28" s="589"/>
    </row>
    <row r="29" spans="1:2" x14ac:dyDescent="0.25">
      <c r="A29" s="897"/>
    </row>
    <row r="30" spans="1:2" ht="52.8" x14ac:dyDescent="0.25">
      <c r="A30" s="906" t="s">
        <v>1077</v>
      </c>
    </row>
    <row r="31" spans="1:2" x14ac:dyDescent="0.25">
      <c r="A31" s="897"/>
    </row>
    <row r="32" spans="1:2" ht="52.8" x14ac:dyDescent="0.25">
      <c r="A32" s="897" t="s">
        <v>96</v>
      </c>
    </row>
    <row r="33" spans="1:1" x14ac:dyDescent="0.25">
      <c r="A33" s="897"/>
    </row>
    <row r="34" spans="1:1" x14ac:dyDescent="0.25">
      <c r="A34" s="903" t="s">
        <v>97</v>
      </c>
    </row>
    <row r="35" spans="1:1" ht="26.4" x14ac:dyDescent="0.25">
      <c r="A35" s="897" t="s">
        <v>98</v>
      </c>
    </row>
    <row r="36" spans="1:1" ht="39.6" x14ac:dyDescent="0.25">
      <c r="A36" s="590" t="s">
        <v>1364</v>
      </c>
    </row>
    <row r="37" spans="1:1" ht="25.5" customHeight="1" x14ac:dyDescent="0.25">
      <c r="A37" s="590" t="s">
        <v>1365</v>
      </c>
    </row>
    <row r="38" spans="1:1" ht="63.75" customHeight="1" x14ac:dyDescent="0.25">
      <c r="A38" s="590" t="s">
        <v>1366</v>
      </c>
    </row>
    <row r="39" spans="1:1" ht="76.5" customHeight="1" x14ac:dyDescent="0.25">
      <c r="A39" s="590" t="s">
        <v>1369</v>
      </c>
    </row>
    <row r="40" spans="1:1" x14ac:dyDescent="0.25">
      <c r="A40" s="897"/>
    </row>
    <row r="41" spans="1:1" x14ac:dyDescent="0.25">
      <c r="A41" s="903" t="s">
        <v>900</v>
      </c>
    </row>
    <row r="42" spans="1:1" ht="38.25" customHeight="1" x14ac:dyDescent="0.25">
      <c r="A42" s="911" t="s">
        <v>1265</v>
      </c>
    </row>
    <row r="43" spans="1:1" s="588" customFormat="1" ht="66" customHeight="1" x14ac:dyDescent="0.25">
      <c r="A43" s="909" t="s">
        <v>1266</v>
      </c>
    </row>
    <row r="44" spans="1:1" x14ac:dyDescent="0.25">
      <c r="A44" s="933" t="s">
        <v>1267</v>
      </c>
    </row>
    <row r="45" spans="1:1" ht="26.4" x14ac:dyDescent="0.25">
      <c r="A45" s="911" t="s">
        <v>1268</v>
      </c>
    </row>
    <row r="46" spans="1:1" ht="52.8" x14ac:dyDescent="0.25">
      <c r="A46" s="933" t="s">
        <v>1416</v>
      </c>
    </row>
    <row r="47" spans="1:1" ht="76.5" customHeight="1" x14ac:dyDescent="0.25">
      <c r="A47" s="913" t="s">
        <v>1269</v>
      </c>
    </row>
    <row r="48" spans="1:1" ht="76.5" customHeight="1" x14ac:dyDescent="0.25">
      <c r="A48" s="911" t="s">
        <v>1270</v>
      </c>
    </row>
    <row r="49" spans="1:1" ht="26.4" x14ac:dyDescent="0.25">
      <c r="A49" s="913" t="s">
        <v>1367</v>
      </c>
    </row>
    <row r="50" spans="1:1" x14ac:dyDescent="0.25">
      <c r="A50" s="897"/>
    </row>
    <row r="51" spans="1:1" x14ac:dyDescent="0.25">
      <c r="A51" s="903" t="s">
        <v>901</v>
      </c>
    </row>
    <row r="52" spans="1:1" ht="66" x14ac:dyDescent="0.25">
      <c r="A52" s="906" t="s">
        <v>1139</v>
      </c>
    </row>
    <row r="53" spans="1:1" ht="26.4" customHeight="1" x14ac:dyDescent="0.25">
      <c r="A53" s="913" t="s">
        <v>1129</v>
      </c>
    </row>
    <row r="54" spans="1:1" ht="26.4" customHeight="1" x14ac:dyDescent="0.25">
      <c r="A54" s="913" t="s">
        <v>1130</v>
      </c>
    </row>
    <row r="55" spans="1:1" ht="26.4" customHeight="1" x14ac:dyDescent="0.25">
      <c r="A55" s="913" t="s">
        <v>1131</v>
      </c>
    </row>
    <row r="56" spans="1:1" ht="26.4" customHeight="1" x14ac:dyDescent="0.25">
      <c r="A56" s="913" t="s">
        <v>1143</v>
      </c>
    </row>
    <row r="57" spans="1:1" ht="39.6" customHeight="1" x14ac:dyDescent="0.25">
      <c r="A57" s="913" t="s">
        <v>1132</v>
      </c>
    </row>
    <row r="58" spans="1:1" x14ac:dyDescent="0.25">
      <c r="A58" s="897"/>
    </row>
    <row r="59" spans="1:1" x14ac:dyDescent="0.25">
      <c r="A59" s="903" t="s">
        <v>902</v>
      </c>
    </row>
    <row r="60" spans="1:1" ht="39.6" x14ac:dyDescent="0.25">
      <c r="A60" s="906" t="s">
        <v>335</v>
      </c>
    </row>
    <row r="61" spans="1:1" x14ac:dyDescent="0.25">
      <c r="A61" s="914" t="s">
        <v>1133</v>
      </c>
    </row>
    <row r="62" spans="1:1" x14ac:dyDescent="0.25">
      <c r="A62" s="914" t="s">
        <v>1134</v>
      </c>
    </row>
    <row r="63" spans="1:1" x14ac:dyDescent="0.25">
      <c r="A63" s="914" t="s">
        <v>1135</v>
      </c>
    </row>
    <row r="64" spans="1:1" ht="26.4" x14ac:dyDescent="0.25">
      <c r="A64" s="913" t="s">
        <v>1140</v>
      </c>
    </row>
    <row r="65" spans="1:1" x14ac:dyDescent="0.25">
      <c r="A65" s="914" t="s">
        <v>1136</v>
      </c>
    </row>
    <row r="66" spans="1:1" x14ac:dyDescent="0.25">
      <c r="A66" s="914" t="s">
        <v>1144</v>
      </c>
    </row>
    <row r="67" spans="1:1" x14ac:dyDescent="0.25">
      <c r="A67" s="913" t="s">
        <v>1137</v>
      </c>
    </row>
    <row r="68" spans="1:1" x14ac:dyDescent="0.25">
      <c r="A68" s="913" t="s">
        <v>1138</v>
      </c>
    </row>
    <row r="69" spans="1:1" x14ac:dyDescent="0.25">
      <c r="A69" s="914" t="s">
        <v>1141</v>
      </c>
    </row>
    <row r="70" spans="1:1" ht="12.75" customHeight="1" x14ac:dyDescent="0.25">
      <c r="A70" s="914" t="s">
        <v>1368</v>
      </c>
    </row>
    <row r="71" spans="1:1" x14ac:dyDescent="0.25">
      <c r="A71" s="897"/>
    </row>
    <row r="72" spans="1:1" x14ac:dyDescent="0.25">
      <c r="A72" s="903" t="s">
        <v>903</v>
      </c>
    </row>
    <row r="73" spans="1:1" ht="52.8" x14ac:dyDescent="0.25">
      <c r="A73" s="905" t="s">
        <v>1142</v>
      </c>
    </row>
  </sheetData>
  <phoneticPr fontId="11" type="noConversion"/>
  <pageMargins left="0.74803149606299213" right="0.74803149606299213" top="0.98425196850393704" bottom="0.98425196850393704" header="0.51181102362204722" footer="0.51181102362204722"/>
  <pageSetup paperSize="9" firstPageNumber="52" orientation="portrait" useFirstPageNumber="1" r:id="rId1"/>
  <headerFooter alignWithMargins="0">
    <oddFooter>&amp;L&amp;8Chartered Accountants Australia New Zealand&amp;C&amp;9&amp;P&amp;R&amp;8VICTORIAN CITY COUNCIL</oddFooter>
  </headerFooter>
  <rowBreaks count="1" manualBreakCount="1">
    <brk id="2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
  <sheetViews>
    <sheetView showGridLines="0" view="pageBreakPreview" topLeftCell="A12" zoomScaleNormal="100" zoomScaleSheetLayoutView="100" zoomScalePageLayoutView="85" workbookViewId="0">
      <selection activeCell="A40" sqref="A40"/>
    </sheetView>
  </sheetViews>
  <sheetFormatPr defaultColWidth="8.88671875" defaultRowHeight="13.2" x14ac:dyDescent="0.25"/>
  <cols>
    <col min="1" max="1" width="24.109375" style="307" customWidth="1"/>
    <col min="2" max="2" width="9.109375" style="307" customWidth="1"/>
    <col min="3" max="3" width="9.109375" style="588"/>
    <col min="4" max="6" width="12" style="268" customWidth="1"/>
    <col min="7" max="7" width="9.33203125" style="268" customWidth="1"/>
    <col min="8" max="8" width="10.5546875" style="268" customWidth="1"/>
    <col min="9" max="9" width="10" style="268" customWidth="1"/>
    <col min="10" max="16384" width="8.88671875" style="268"/>
  </cols>
  <sheetData>
    <row r="1" spans="1:7" ht="16.8" x14ac:dyDescent="0.3">
      <c r="A1" s="586" t="s">
        <v>904</v>
      </c>
      <c r="B1" s="591"/>
      <c r="C1" s="201"/>
      <c r="D1" s="201"/>
      <c r="E1" s="201"/>
      <c r="F1" s="201"/>
      <c r="G1" s="201"/>
    </row>
    <row r="2" spans="1:7" x14ac:dyDescent="0.25">
      <c r="A2" s="592"/>
      <c r="B2" s="592"/>
      <c r="C2" s="201"/>
      <c r="D2" s="201"/>
      <c r="E2" s="201"/>
      <c r="F2" s="201"/>
      <c r="G2" s="201"/>
    </row>
    <row r="3" spans="1:7" ht="26.4" customHeight="1" x14ac:dyDescent="0.25">
      <c r="A3" s="950" t="s">
        <v>1370</v>
      </c>
      <c r="B3" s="950"/>
      <c r="C3" s="950"/>
      <c r="D3" s="950"/>
      <c r="E3" s="950"/>
      <c r="F3" s="950"/>
      <c r="G3" s="950"/>
    </row>
    <row r="4" spans="1:7" x14ac:dyDescent="0.25">
      <c r="A4" s="201"/>
      <c r="B4" s="201"/>
      <c r="C4" s="201"/>
      <c r="D4" s="201"/>
      <c r="E4" s="201"/>
      <c r="F4" s="201"/>
      <c r="G4" s="201"/>
    </row>
    <row r="5" spans="1:7" x14ac:dyDescent="0.25">
      <c r="A5" s="1087" t="s">
        <v>905</v>
      </c>
      <c r="B5" s="1087"/>
      <c r="C5" s="1087"/>
      <c r="D5" s="1087"/>
      <c r="E5" s="201"/>
      <c r="F5" s="201"/>
      <c r="G5" s="201"/>
    </row>
    <row r="6" spans="1:7" x14ac:dyDescent="0.25">
      <c r="A6" s="472"/>
      <c r="B6" s="472"/>
      <c r="C6" s="379"/>
      <c r="D6" s="379" t="s">
        <v>331</v>
      </c>
      <c r="E6" s="379"/>
      <c r="F6" s="379"/>
      <c r="G6" s="201"/>
    </row>
    <row r="7" spans="1:7" x14ac:dyDescent="0.25">
      <c r="A7" s="472"/>
      <c r="B7" s="472"/>
      <c r="C7" s="379"/>
      <c r="D7" s="379" t="s">
        <v>332</v>
      </c>
      <c r="E7" s="379" t="s">
        <v>313</v>
      </c>
      <c r="F7" s="379" t="s">
        <v>314</v>
      </c>
      <c r="G7" s="201"/>
    </row>
    <row r="8" spans="1:7" x14ac:dyDescent="0.25">
      <c r="A8" s="472"/>
      <c r="B8" s="472"/>
      <c r="C8" s="491" t="s">
        <v>72</v>
      </c>
      <c r="D8" s="380" t="s">
        <v>1114</v>
      </c>
      <c r="E8" s="380" t="s">
        <v>1098</v>
      </c>
      <c r="F8" s="379"/>
      <c r="G8" s="201"/>
    </row>
    <row r="9" spans="1:7" x14ac:dyDescent="0.25">
      <c r="A9" s="473"/>
      <c r="B9" s="473"/>
      <c r="C9" s="601"/>
      <c r="D9" s="379" t="s">
        <v>298</v>
      </c>
      <c r="E9" s="379" t="s">
        <v>298</v>
      </c>
      <c r="F9" s="379" t="s">
        <v>298</v>
      </c>
      <c r="G9" s="201"/>
    </row>
    <row r="10" spans="1:7" x14ac:dyDescent="0.25">
      <c r="A10" s="318" t="s">
        <v>372</v>
      </c>
      <c r="B10" s="318"/>
      <c r="C10" s="606">
        <v>10.199999999999999</v>
      </c>
      <c r="D10" s="593">
        <f>+'3'!C53</f>
        <v>72571</v>
      </c>
      <c r="E10" s="602">
        <f>+'3'!D53</f>
        <v>77574</v>
      </c>
      <c r="F10" s="593">
        <f>+E10-D10</f>
        <v>5003</v>
      </c>
      <c r="G10" s="201"/>
    </row>
    <row r="11" spans="1:7" x14ac:dyDescent="0.25">
      <c r="A11" s="892" t="s">
        <v>13</v>
      </c>
      <c r="B11" s="318"/>
      <c r="C11" s="606">
        <v>10.3</v>
      </c>
      <c r="D11" s="594">
        <f>-'3'!C62</f>
        <v>-74493</v>
      </c>
      <c r="E11" s="603">
        <f>-'3'!D62</f>
        <v>-76529</v>
      </c>
      <c r="F11" s="594">
        <f>+E11-D11</f>
        <v>-2036</v>
      </c>
      <c r="G11" s="201"/>
    </row>
    <row r="12" spans="1:7" x14ac:dyDescent="0.25">
      <c r="A12" s="1089" t="s">
        <v>172</v>
      </c>
      <c r="B12" s="1089"/>
      <c r="C12" s="9"/>
      <c r="D12" s="158">
        <f>SUM(D10:D11)</f>
        <v>-1922</v>
      </c>
      <c r="E12" s="604">
        <f>SUM(E10:E11)</f>
        <v>1045</v>
      </c>
      <c r="F12" s="593">
        <f>SUM(F10:F11)</f>
        <v>2967</v>
      </c>
      <c r="G12" s="201"/>
    </row>
    <row r="13" spans="1:7" x14ac:dyDescent="0.25">
      <c r="A13" s="1084" t="s">
        <v>1371</v>
      </c>
      <c r="B13" s="1084"/>
      <c r="C13" s="606" t="s">
        <v>923</v>
      </c>
      <c r="D13" s="593">
        <v>-2093</v>
      </c>
      <c r="E13" s="602">
        <v>-5447</v>
      </c>
      <c r="F13" s="593">
        <f>-D13+E13</f>
        <v>-3354</v>
      </c>
      <c r="G13" s="201"/>
    </row>
    <row r="14" spans="1:7" x14ac:dyDescent="0.25">
      <c r="A14" s="1084" t="s">
        <v>370</v>
      </c>
      <c r="B14" s="1039"/>
      <c r="C14" s="1039"/>
      <c r="D14" s="595">
        <v>0</v>
      </c>
      <c r="E14" s="602">
        <v>0</v>
      </c>
      <c r="F14" s="595">
        <f>+E14-D14</f>
        <v>0</v>
      </c>
      <c r="G14" s="201"/>
    </row>
    <row r="15" spans="1:7" x14ac:dyDescent="0.25">
      <c r="A15" s="1051" t="s">
        <v>538</v>
      </c>
      <c r="B15" s="1051"/>
      <c r="C15" s="606" t="s">
        <v>924</v>
      </c>
      <c r="D15" s="160">
        <v>-661</v>
      </c>
      <c r="E15" s="603">
        <v>-51</v>
      </c>
      <c r="F15" s="161">
        <f>-D15+E15</f>
        <v>610</v>
      </c>
    </row>
    <row r="16" spans="1:7" ht="12.75" customHeight="1" x14ac:dyDescent="0.25">
      <c r="A16" s="1090" t="s">
        <v>653</v>
      </c>
      <c r="B16" s="1090"/>
      <c r="C16" s="657" t="s">
        <v>1372</v>
      </c>
      <c r="D16" s="159">
        <f>SUM(D12:D15)</f>
        <v>-4676</v>
      </c>
      <c r="E16" s="605">
        <f>SUM(E12:E15)</f>
        <v>-4453</v>
      </c>
      <c r="F16" s="159">
        <f>SUM(F12:F15)</f>
        <v>223</v>
      </c>
      <c r="G16" s="201"/>
    </row>
    <row r="17" spans="1:9" x14ac:dyDescent="0.25">
      <c r="A17" s="201"/>
      <c r="B17" s="201"/>
      <c r="C17" s="201"/>
      <c r="D17" s="201"/>
      <c r="E17" s="201"/>
      <c r="F17" s="201"/>
      <c r="G17" s="201"/>
    </row>
    <row r="18" spans="1:9" x14ac:dyDescent="0.25">
      <c r="A18" s="1088" t="s">
        <v>906</v>
      </c>
      <c r="B18" s="1088"/>
      <c r="C18" s="1088"/>
      <c r="D18" s="1088"/>
      <c r="E18" s="1088"/>
      <c r="F18" s="1088"/>
      <c r="G18" s="1088"/>
    </row>
    <row r="19" spans="1:9" ht="118.95" customHeight="1" x14ac:dyDescent="0.25">
      <c r="A19" s="938" t="s">
        <v>1145</v>
      </c>
      <c r="B19" s="938"/>
      <c r="C19" s="938"/>
      <c r="D19" s="938"/>
      <c r="E19" s="938"/>
      <c r="F19" s="938"/>
      <c r="G19" s="938"/>
    </row>
    <row r="20" spans="1:9" x14ac:dyDescent="0.25">
      <c r="A20" s="201"/>
      <c r="B20" s="201"/>
      <c r="C20" s="201"/>
      <c r="D20" s="201"/>
      <c r="E20" s="201"/>
      <c r="F20" s="201"/>
      <c r="G20" s="201"/>
    </row>
    <row r="21" spans="1:9" x14ac:dyDescent="0.25">
      <c r="A21" s="1088" t="s">
        <v>1374</v>
      </c>
      <c r="B21" s="1088"/>
      <c r="C21" s="1088"/>
      <c r="D21" s="1088"/>
      <c r="E21" s="1088"/>
      <c r="F21" s="1088"/>
      <c r="G21" s="1088"/>
    </row>
    <row r="22" spans="1:9" x14ac:dyDescent="0.25">
      <c r="A22" s="472"/>
      <c r="B22" s="472"/>
      <c r="C22" s="472"/>
      <c r="D22" s="380" t="s">
        <v>331</v>
      </c>
      <c r="E22" s="380"/>
      <c r="F22" s="380"/>
      <c r="G22" s="201"/>
    </row>
    <row r="23" spans="1:9" x14ac:dyDescent="0.25">
      <c r="A23" s="472"/>
      <c r="B23" s="472"/>
      <c r="C23" s="472"/>
      <c r="D23" s="380" t="s">
        <v>332</v>
      </c>
      <c r="E23" s="380" t="s">
        <v>313</v>
      </c>
      <c r="F23" s="380" t="s">
        <v>314</v>
      </c>
      <c r="G23" s="201"/>
    </row>
    <row r="24" spans="1:9" x14ac:dyDescent="0.25">
      <c r="A24" s="472" t="s">
        <v>386</v>
      </c>
      <c r="B24" s="472"/>
      <c r="C24" s="491" t="s">
        <v>72</v>
      </c>
      <c r="D24" s="380" t="s">
        <v>1114</v>
      </c>
      <c r="E24" s="380" t="s">
        <v>1098</v>
      </c>
      <c r="F24" s="380"/>
      <c r="G24" s="201"/>
    </row>
    <row r="25" spans="1:9" x14ac:dyDescent="0.25">
      <c r="A25" s="473"/>
      <c r="B25" s="473"/>
      <c r="C25" s="473"/>
      <c r="D25" s="380" t="s">
        <v>298</v>
      </c>
      <c r="E25" s="380" t="s">
        <v>298</v>
      </c>
      <c r="F25" s="380" t="s">
        <v>298</v>
      </c>
      <c r="G25" s="201"/>
    </row>
    <row r="26" spans="1:9" ht="13.2" customHeight="1" x14ac:dyDescent="0.25">
      <c r="A26" s="318" t="s">
        <v>73</v>
      </c>
      <c r="B26" s="318"/>
      <c r="C26" s="607" t="s">
        <v>925</v>
      </c>
      <c r="D26" s="593">
        <f>+'3'!C42</f>
        <v>41685</v>
      </c>
      <c r="E26" s="609">
        <f>+'3'!D42</f>
        <v>43457</v>
      </c>
      <c r="F26" s="593">
        <f>+E26-D26</f>
        <v>1772</v>
      </c>
      <c r="G26" s="201"/>
      <c r="I26" s="935">
        <f>F26/D26</f>
        <v>4.2509295909799689E-2</v>
      </c>
    </row>
    <row r="27" spans="1:9" ht="13.2" customHeight="1" x14ac:dyDescent="0.25">
      <c r="A27" s="318" t="s">
        <v>74</v>
      </c>
      <c r="B27" s="318"/>
      <c r="C27" s="606" t="s">
        <v>926</v>
      </c>
      <c r="D27" s="593">
        <f>+'3'!C43</f>
        <v>2445</v>
      </c>
      <c r="E27" s="609">
        <f>+'3'!D43</f>
        <v>2690</v>
      </c>
      <c r="F27" s="593">
        <f t="shared" ref="F27:F33" si="0">+E27-D27</f>
        <v>245</v>
      </c>
      <c r="G27" s="201"/>
      <c r="I27" s="935">
        <f t="shared" ref="I27:I34" si="1">F27/D27</f>
        <v>0.10020449897750511</v>
      </c>
    </row>
    <row r="28" spans="1:9" ht="13.2" customHeight="1" x14ac:dyDescent="0.25">
      <c r="A28" s="318" t="s">
        <v>75</v>
      </c>
      <c r="B28" s="318"/>
      <c r="C28" s="608" t="s">
        <v>927</v>
      </c>
      <c r="D28" s="593">
        <f>+'3'!C44</f>
        <v>6708</v>
      </c>
      <c r="E28" s="609">
        <f>+'3'!D44</f>
        <v>7680</v>
      </c>
      <c r="F28" s="593">
        <f t="shared" si="0"/>
        <v>972</v>
      </c>
      <c r="G28" s="201"/>
      <c r="I28" s="935">
        <f t="shared" si="1"/>
        <v>0.14490161001788909</v>
      </c>
    </row>
    <row r="29" spans="1:9" ht="13.2" customHeight="1" x14ac:dyDescent="0.25">
      <c r="A29" s="318" t="s">
        <v>756</v>
      </c>
      <c r="B29" s="318"/>
      <c r="C29" s="606" t="s">
        <v>924</v>
      </c>
      <c r="D29" s="593">
        <f>+'3'!C47</f>
        <v>661</v>
      </c>
      <c r="E29" s="609">
        <f>+'3'!D47</f>
        <v>51</v>
      </c>
      <c r="F29" s="593">
        <f t="shared" si="0"/>
        <v>-610</v>
      </c>
      <c r="G29" s="201"/>
      <c r="I29" s="935">
        <f t="shared" si="1"/>
        <v>-0.9228441754916793</v>
      </c>
    </row>
    <row r="30" spans="1:9" ht="13.2" customHeight="1" x14ac:dyDescent="0.25">
      <c r="A30" s="318" t="s">
        <v>387</v>
      </c>
      <c r="B30" s="318"/>
      <c r="C30" s="608" t="s">
        <v>1057</v>
      </c>
      <c r="D30" s="593">
        <f>+'3'!C45</f>
        <v>14523</v>
      </c>
      <c r="E30" s="609">
        <f>+'3'!D45</f>
        <v>13617</v>
      </c>
      <c r="F30" s="593">
        <f t="shared" si="0"/>
        <v>-906</v>
      </c>
      <c r="G30" s="201"/>
      <c r="I30" s="935">
        <f t="shared" si="1"/>
        <v>-6.2383804998967153E-2</v>
      </c>
    </row>
    <row r="31" spans="1:9" ht="13.2" customHeight="1" x14ac:dyDescent="0.25">
      <c r="A31" s="319" t="s">
        <v>388</v>
      </c>
      <c r="B31" s="319"/>
      <c r="C31" s="606" t="s">
        <v>1058</v>
      </c>
      <c r="D31" s="593">
        <f>+'3'!C46</f>
        <v>2903</v>
      </c>
      <c r="E31" s="609">
        <f>+'3'!D46</f>
        <v>6277</v>
      </c>
      <c r="F31" s="593">
        <f t="shared" si="0"/>
        <v>3374</v>
      </c>
      <c r="G31" s="201"/>
      <c r="I31" s="935">
        <f t="shared" si="1"/>
        <v>1.1622459524629694</v>
      </c>
    </row>
    <row r="32" spans="1:9" ht="26.4" customHeight="1" x14ac:dyDescent="0.25">
      <c r="A32" s="1060" t="s">
        <v>1373</v>
      </c>
      <c r="B32" s="1060"/>
      <c r="C32" s="606" t="s">
        <v>928</v>
      </c>
      <c r="D32" s="596">
        <f>+'3'!C49</f>
        <v>823</v>
      </c>
      <c r="E32" s="610">
        <f>+'3'!D49</f>
        <v>539</v>
      </c>
      <c r="F32" s="596">
        <f t="shared" si="0"/>
        <v>-284</v>
      </c>
      <c r="G32" s="201"/>
      <c r="I32" s="935">
        <f t="shared" si="1"/>
        <v>-0.34507897934386389</v>
      </c>
    </row>
    <row r="33" spans="1:9" ht="13.2" customHeight="1" x14ac:dyDescent="0.25">
      <c r="A33" s="318" t="s">
        <v>371</v>
      </c>
      <c r="B33" s="318"/>
      <c r="C33" s="606" t="s">
        <v>923</v>
      </c>
      <c r="D33" s="594">
        <f>+'3'!C52+'3'!C50+'3'!C51</f>
        <v>2823</v>
      </c>
      <c r="E33" s="603">
        <f>+'3'!D52+'3'!D50+'3'!D51</f>
        <v>3263</v>
      </c>
      <c r="F33" s="594">
        <f t="shared" si="0"/>
        <v>440</v>
      </c>
      <c r="G33" s="201"/>
      <c r="I33" s="935">
        <f t="shared" si="1"/>
        <v>0.15586255756287637</v>
      </c>
    </row>
    <row r="34" spans="1:9" ht="13.2" customHeight="1" x14ac:dyDescent="0.25">
      <c r="A34" s="16" t="s">
        <v>372</v>
      </c>
      <c r="B34" s="16"/>
      <c r="C34" s="41"/>
      <c r="D34" s="162">
        <f>SUM(D26:D33)</f>
        <v>72571</v>
      </c>
      <c r="E34" s="605">
        <f>SUM(E26:E33)</f>
        <v>77574</v>
      </c>
      <c r="F34" s="597">
        <f>SUM(F26:F33)</f>
        <v>5003</v>
      </c>
      <c r="G34" s="201"/>
      <c r="I34" s="935">
        <f t="shared" si="1"/>
        <v>6.8939383500296256E-2</v>
      </c>
    </row>
    <row r="35" spans="1:9" ht="15" customHeight="1" x14ac:dyDescent="0.25">
      <c r="A35" s="201"/>
      <c r="B35" s="201"/>
      <c r="C35" s="201"/>
      <c r="D35" s="201"/>
      <c r="E35" s="201"/>
      <c r="F35" s="201"/>
      <c r="G35" s="201"/>
    </row>
    <row r="36" spans="1:9" ht="219" customHeight="1" x14ac:dyDescent="0.3">
      <c r="A36" s="598" t="s">
        <v>76</v>
      </c>
      <c r="B36" s="598"/>
      <c r="C36" s="201"/>
      <c r="D36" s="201"/>
      <c r="E36" s="201"/>
      <c r="F36" s="201"/>
      <c r="G36" s="201"/>
    </row>
    <row r="37" spans="1:9" ht="280.5" customHeight="1" x14ac:dyDescent="0.3">
      <c r="A37" s="598"/>
      <c r="B37" s="598"/>
      <c r="C37" s="201"/>
      <c r="D37" s="201"/>
      <c r="E37" s="201"/>
      <c r="F37" s="201"/>
      <c r="G37" s="201"/>
    </row>
    <row r="38" spans="1:9" s="63" customFormat="1" x14ac:dyDescent="0.25">
      <c r="A38" s="952" t="s">
        <v>907</v>
      </c>
      <c r="B38" s="952"/>
      <c r="C38" s="952"/>
      <c r="D38" s="952"/>
      <c r="E38" s="952"/>
      <c r="F38" s="952"/>
      <c r="G38" s="952"/>
      <c r="H38" s="632">
        <f>F26</f>
        <v>1772</v>
      </c>
    </row>
    <row r="39" spans="1:9" s="321" customFormat="1" ht="92.4" customHeight="1" x14ac:dyDescent="0.25">
      <c r="A39" s="938" t="s">
        <v>1375</v>
      </c>
      <c r="B39" s="941"/>
      <c r="C39" s="941"/>
      <c r="D39" s="941"/>
      <c r="E39" s="941"/>
      <c r="F39" s="941"/>
      <c r="G39" s="941"/>
    </row>
    <row r="40" spans="1:9" s="63" customFormat="1" x14ac:dyDescent="0.25">
      <c r="A40" s="341"/>
      <c r="B40" s="341"/>
      <c r="C40" s="83"/>
      <c r="D40" s="83"/>
      <c r="E40" s="83"/>
      <c r="F40" s="83"/>
      <c r="G40" s="83"/>
    </row>
    <row r="41" spans="1:9" s="63" customFormat="1" x14ac:dyDescent="0.25">
      <c r="A41" s="1086" t="s">
        <v>929</v>
      </c>
      <c r="B41" s="1086"/>
      <c r="C41" s="1086"/>
      <c r="D41" s="1086"/>
      <c r="E41" s="1086"/>
      <c r="F41" s="1086"/>
      <c r="G41" s="1086"/>
    </row>
    <row r="42" spans="1:9" s="63" customFormat="1" ht="39.6" customHeight="1" x14ac:dyDescent="0.25">
      <c r="A42" s="944" t="s">
        <v>539</v>
      </c>
      <c r="B42" s="944"/>
      <c r="C42" s="942"/>
      <c r="D42" s="942"/>
      <c r="E42" s="942"/>
      <c r="F42" s="942"/>
      <c r="G42" s="942"/>
    </row>
    <row r="43" spans="1:9" s="63" customFormat="1" x14ac:dyDescent="0.25">
      <c r="A43" s="341"/>
      <c r="B43" s="341"/>
      <c r="C43" s="83"/>
      <c r="D43" s="83"/>
      <c r="E43" s="83"/>
      <c r="F43" s="83"/>
      <c r="G43" s="83"/>
    </row>
    <row r="44" spans="1:9" s="63" customFormat="1" ht="51.75" customHeight="1" x14ac:dyDescent="0.25">
      <c r="A44" s="941" t="s">
        <v>1146</v>
      </c>
      <c r="B44" s="941"/>
      <c r="C44" s="941"/>
      <c r="D44" s="941"/>
      <c r="E44" s="941"/>
      <c r="F44" s="941"/>
      <c r="G44" s="941"/>
    </row>
    <row r="45" spans="1:9" s="63" customFormat="1" x14ac:dyDescent="0.25">
      <c r="A45" s="341"/>
      <c r="B45" s="341"/>
      <c r="C45" s="83"/>
      <c r="D45" s="83"/>
      <c r="E45" s="83"/>
      <c r="F45" s="83"/>
      <c r="G45" s="83"/>
    </row>
    <row r="46" spans="1:9" s="63" customFormat="1" ht="12.75" customHeight="1" x14ac:dyDescent="0.25">
      <c r="A46" s="944" t="s">
        <v>1028</v>
      </c>
      <c r="B46" s="944"/>
      <c r="C46" s="944"/>
      <c r="D46" s="944"/>
      <c r="E46" s="944"/>
      <c r="F46" s="944"/>
      <c r="G46" s="944"/>
    </row>
    <row r="47" spans="1:9" s="63" customFormat="1" x14ac:dyDescent="0.25">
      <c r="A47" s="341"/>
      <c r="B47" s="341"/>
      <c r="C47" s="83"/>
      <c r="D47" s="83"/>
      <c r="E47" s="83"/>
      <c r="F47" s="83"/>
      <c r="G47" s="83"/>
    </row>
    <row r="48" spans="1:9" s="63" customFormat="1" x14ac:dyDescent="0.25">
      <c r="A48" s="1086" t="s">
        <v>908</v>
      </c>
      <c r="B48" s="1086"/>
      <c r="C48" s="1086"/>
      <c r="D48" s="1086"/>
      <c r="E48" s="1086"/>
      <c r="F48" s="1086"/>
      <c r="G48" s="1086"/>
    </row>
    <row r="49" spans="1:7" s="63" customFormat="1" ht="66" customHeight="1" x14ac:dyDescent="0.25">
      <c r="A49" s="944" t="s">
        <v>540</v>
      </c>
      <c r="B49" s="944"/>
      <c r="C49" s="942"/>
      <c r="D49" s="942"/>
      <c r="E49" s="942"/>
      <c r="F49" s="942"/>
      <c r="G49" s="942"/>
    </row>
    <row r="50" spans="1:7" s="63" customFormat="1" x14ac:dyDescent="0.25">
      <c r="A50" s="341"/>
      <c r="B50" s="341"/>
      <c r="C50" s="83"/>
      <c r="D50" s="83"/>
      <c r="E50" s="83"/>
      <c r="F50" s="83"/>
      <c r="G50" s="83"/>
    </row>
    <row r="51" spans="1:7" s="63" customFormat="1" ht="79.2" customHeight="1" x14ac:dyDescent="0.25">
      <c r="A51" s="944" t="s">
        <v>1147</v>
      </c>
      <c r="B51" s="944"/>
      <c r="C51" s="942"/>
      <c r="D51" s="942"/>
      <c r="E51" s="942"/>
      <c r="F51" s="942"/>
      <c r="G51" s="942"/>
    </row>
    <row r="52" spans="1:7" s="63" customFormat="1" x14ac:dyDescent="0.25">
      <c r="A52" s="897"/>
      <c r="B52" s="897"/>
      <c r="C52" s="897"/>
      <c r="D52" s="897"/>
      <c r="E52" s="897"/>
      <c r="F52" s="897"/>
      <c r="G52" s="897"/>
    </row>
    <row r="53" spans="1:7" s="63" customFormat="1" x14ac:dyDescent="0.25">
      <c r="A53" s="944" t="s">
        <v>1054</v>
      </c>
      <c r="B53" s="944"/>
      <c r="C53" s="942"/>
      <c r="D53" s="942"/>
      <c r="E53" s="942"/>
      <c r="F53" s="942"/>
      <c r="G53" s="942"/>
    </row>
    <row r="54" spans="1:7" s="63" customFormat="1" x14ac:dyDescent="0.25">
      <c r="A54" s="897"/>
      <c r="B54" s="897"/>
      <c r="C54" s="897"/>
      <c r="D54" s="897"/>
      <c r="E54" s="897"/>
      <c r="F54" s="897"/>
      <c r="G54" s="897"/>
    </row>
    <row r="55" spans="1:7" s="63" customFormat="1" x14ac:dyDescent="0.25">
      <c r="A55" s="1086" t="s">
        <v>909</v>
      </c>
      <c r="B55" s="1086"/>
      <c r="C55" s="1086"/>
      <c r="D55" s="1086"/>
      <c r="E55" s="1086"/>
      <c r="F55" s="1086"/>
      <c r="G55" s="1086"/>
    </row>
    <row r="56" spans="1:7" s="63" customFormat="1" ht="26.4" customHeight="1" x14ac:dyDescent="0.25">
      <c r="A56" s="944" t="s">
        <v>541</v>
      </c>
      <c r="B56" s="944"/>
      <c r="C56" s="942"/>
      <c r="D56" s="942"/>
      <c r="E56" s="942"/>
      <c r="F56" s="942"/>
      <c r="G56" s="942"/>
    </row>
    <row r="57" spans="1:7" s="63" customFormat="1" x14ac:dyDescent="0.25">
      <c r="A57" s="897"/>
      <c r="B57" s="897"/>
      <c r="C57" s="897"/>
      <c r="D57" s="897"/>
      <c r="E57" s="897"/>
      <c r="F57" s="897"/>
      <c r="G57" s="897"/>
    </row>
    <row r="58" spans="1:7" s="63" customFormat="1" ht="39.6" customHeight="1" x14ac:dyDescent="0.25">
      <c r="A58" s="941" t="s">
        <v>1148</v>
      </c>
      <c r="B58" s="941"/>
      <c r="C58" s="941"/>
      <c r="D58" s="941"/>
      <c r="E58" s="941"/>
      <c r="F58" s="941"/>
      <c r="G58" s="941"/>
    </row>
    <row r="59" spans="1:7" s="63" customFormat="1" x14ac:dyDescent="0.25">
      <c r="A59" s="897"/>
      <c r="B59" s="897"/>
      <c r="C59" s="897"/>
      <c r="D59" s="897"/>
      <c r="E59" s="897"/>
      <c r="F59" s="897"/>
      <c r="G59" s="897"/>
    </row>
    <row r="60" spans="1:7" s="63" customFormat="1" x14ac:dyDescent="0.25">
      <c r="A60" s="952" t="s">
        <v>1055</v>
      </c>
      <c r="B60" s="952"/>
      <c r="C60" s="952"/>
      <c r="D60" s="952"/>
      <c r="E60" s="952"/>
      <c r="F60" s="952"/>
      <c r="G60" s="952"/>
    </row>
    <row r="61" spans="1:7" s="63" customFormat="1" ht="52.95" customHeight="1" x14ac:dyDescent="0.25">
      <c r="A61" s="938" t="s">
        <v>1149</v>
      </c>
      <c r="B61" s="938"/>
      <c r="C61" s="938"/>
      <c r="D61" s="938"/>
      <c r="E61" s="938"/>
      <c r="F61" s="938"/>
      <c r="G61" s="938"/>
    </row>
    <row r="62" spans="1:7" s="63" customFormat="1" x14ac:dyDescent="0.25">
      <c r="A62" s="897"/>
      <c r="B62" s="897"/>
      <c r="C62" s="897"/>
      <c r="D62" s="897"/>
      <c r="E62" s="897"/>
      <c r="F62" s="897"/>
      <c r="G62" s="897"/>
    </row>
    <row r="63" spans="1:7" s="63" customFormat="1" x14ac:dyDescent="0.25">
      <c r="A63" s="1086" t="s">
        <v>1056</v>
      </c>
      <c r="B63" s="1086"/>
      <c r="C63" s="1086"/>
      <c r="D63" s="1086"/>
      <c r="E63" s="1086"/>
      <c r="F63" s="1086"/>
      <c r="G63" s="1086"/>
    </row>
    <row r="64" spans="1:7" s="63" customFormat="1" ht="25.5" customHeight="1" x14ac:dyDescent="0.25">
      <c r="A64" s="944" t="s">
        <v>389</v>
      </c>
      <c r="B64" s="944"/>
      <c r="C64" s="942"/>
      <c r="D64" s="942"/>
      <c r="E64" s="942"/>
      <c r="F64" s="942"/>
      <c r="G64" s="942"/>
    </row>
    <row r="65" spans="1:7" s="63" customFormat="1" x14ac:dyDescent="0.25">
      <c r="A65" s="897"/>
      <c r="B65" s="897"/>
      <c r="C65" s="897"/>
      <c r="D65" s="897"/>
      <c r="E65" s="897"/>
      <c r="F65" s="897"/>
      <c r="G65" s="897"/>
    </row>
    <row r="66" spans="1:7" s="63" customFormat="1" ht="105.6" customHeight="1" x14ac:dyDescent="0.25">
      <c r="A66" s="941" t="s">
        <v>1150</v>
      </c>
      <c r="B66" s="941"/>
      <c r="C66" s="941"/>
      <c r="D66" s="941"/>
      <c r="E66" s="941"/>
      <c r="F66" s="941"/>
      <c r="G66" s="941"/>
    </row>
    <row r="67" spans="1:7" s="63" customFormat="1" x14ac:dyDescent="0.25">
      <c r="A67" s="341"/>
      <c r="B67" s="341"/>
      <c r="C67" s="83"/>
      <c r="D67" s="83"/>
      <c r="E67" s="83"/>
      <c r="F67" s="83"/>
      <c r="G67" s="83"/>
    </row>
    <row r="68" spans="1:7" s="63" customFormat="1" x14ac:dyDescent="0.25">
      <c r="A68" s="952" t="s">
        <v>910</v>
      </c>
      <c r="B68" s="952"/>
      <c r="C68" s="1065"/>
      <c r="D68" s="1065"/>
      <c r="E68" s="1065"/>
      <c r="F68" s="1065"/>
      <c r="G68" s="1065"/>
    </row>
    <row r="69" spans="1:7" s="63" customFormat="1" x14ac:dyDescent="0.25">
      <c r="A69" s="472"/>
      <c r="B69" s="472"/>
      <c r="C69" s="629"/>
      <c r="D69" s="379" t="s">
        <v>331</v>
      </c>
      <c r="E69" s="379"/>
      <c r="F69" s="379"/>
      <c r="G69" s="83"/>
    </row>
    <row r="70" spans="1:7" s="63" customFormat="1" x14ac:dyDescent="0.25">
      <c r="A70" s="472"/>
      <c r="B70" s="472"/>
      <c r="C70" s="629"/>
      <c r="D70" s="379" t="s">
        <v>332</v>
      </c>
      <c r="E70" s="379" t="s">
        <v>313</v>
      </c>
      <c r="F70" s="379" t="s">
        <v>314</v>
      </c>
      <c r="G70" s="83"/>
    </row>
    <row r="71" spans="1:7" s="63" customFormat="1" x14ac:dyDescent="0.25">
      <c r="A71" s="472" t="s">
        <v>390</v>
      </c>
      <c r="B71" s="472"/>
      <c r="C71" s="491" t="s">
        <v>72</v>
      </c>
      <c r="D71" s="379" t="s">
        <v>1114</v>
      </c>
      <c r="E71" s="379" t="s">
        <v>1098</v>
      </c>
      <c r="F71" s="379"/>
      <c r="G71" s="83"/>
    </row>
    <row r="72" spans="1:7" s="63" customFormat="1" x14ac:dyDescent="0.25">
      <c r="A72" s="473"/>
      <c r="B72" s="473"/>
      <c r="C72" s="473"/>
      <c r="D72" s="379" t="s">
        <v>298</v>
      </c>
      <c r="E72" s="379" t="s">
        <v>298</v>
      </c>
      <c r="F72" s="379" t="s">
        <v>298</v>
      </c>
      <c r="G72" s="83"/>
    </row>
    <row r="73" spans="1:7" s="63" customFormat="1" x14ac:dyDescent="0.25">
      <c r="A73" s="612" t="s">
        <v>410</v>
      </c>
      <c r="B73" s="612"/>
      <c r="C73" s="630" t="s">
        <v>911</v>
      </c>
      <c r="D73" s="596">
        <f>+'3'!C56</f>
        <v>31541</v>
      </c>
      <c r="E73" s="610">
        <f>+'3'!D56</f>
        <v>34091</v>
      </c>
      <c r="F73" s="596">
        <f t="shared" ref="F73:F78" si="2">-D73+E73</f>
        <v>2550</v>
      </c>
      <c r="G73" s="83"/>
    </row>
    <row r="74" spans="1:7" s="63" customFormat="1" x14ac:dyDescent="0.25">
      <c r="A74" s="612" t="s">
        <v>177</v>
      </c>
      <c r="B74" s="612"/>
      <c r="C74" s="630" t="s">
        <v>912</v>
      </c>
      <c r="D74" s="596">
        <f>+'3'!C57</f>
        <v>22937</v>
      </c>
      <c r="E74" s="610">
        <f>+'3'!D57</f>
        <v>22107</v>
      </c>
      <c r="F74" s="596">
        <f t="shared" si="2"/>
        <v>-830</v>
      </c>
      <c r="G74" s="83"/>
    </row>
    <row r="75" spans="1:7" s="63" customFormat="1" x14ac:dyDescent="0.25">
      <c r="A75" s="612" t="s">
        <v>178</v>
      </c>
      <c r="B75" s="612"/>
      <c r="C75" s="631" t="s">
        <v>913</v>
      </c>
      <c r="D75" s="596">
        <f>+'3'!C58</f>
        <v>314</v>
      </c>
      <c r="E75" s="610">
        <f>+'3'!D58</f>
        <v>340</v>
      </c>
      <c r="F75" s="596">
        <f t="shared" si="2"/>
        <v>26</v>
      </c>
      <c r="G75" s="83"/>
    </row>
    <row r="76" spans="1:7" s="63" customFormat="1" x14ac:dyDescent="0.25">
      <c r="A76" s="1093" t="s">
        <v>179</v>
      </c>
      <c r="B76" s="1093"/>
      <c r="C76" s="630" t="s">
        <v>914</v>
      </c>
      <c r="D76" s="596">
        <f>+'3'!C59</f>
        <v>14034</v>
      </c>
      <c r="E76" s="610">
        <f>+'3'!D59</f>
        <v>14500</v>
      </c>
      <c r="F76" s="596">
        <f t="shared" si="2"/>
        <v>466</v>
      </c>
      <c r="G76" s="83"/>
    </row>
    <row r="77" spans="1:7" s="63" customFormat="1" x14ac:dyDescent="0.25">
      <c r="A77" s="612" t="s">
        <v>757</v>
      </c>
      <c r="B77" s="612"/>
      <c r="C77" s="631" t="s">
        <v>915</v>
      </c>
      <c r="D77" s="596">
        <f>+'3'!C60</f>
        <v>380</v>
      </c>
      <c r="E77" s="610">
        <f>+'3'!D60</f>
        <v>312</v>
      </c>
      <c r="F77" s="596">
        <f t="shared" si="2"/>
        <v>-68</v>
      </c>
      <c r="G77" s="83"/>
    </row>
    <row r="78" spans="1:7" s="63" customFormat="1" x14ac:dyDescent="0.25">
      <c r="A78" s="612" t="s">
        <v>181</v>
      </c>
      <c r="B78" s="612"/>
      <c r="C78" s="630" t="s">
        <v>916</v>
      </c>
      <c r="D78" s="613">
        <f>+'3'!C61</f>
        <v>5287</v>
      </c>
      <c r="E78" s="627">
        <f>+'3'!D61</f>
        <v>5179</v>
      </c>
      <c r="F78" s="613">
        <f t="shared" si="2"/>
        <v>-108</v>
      </c>
      <c r="G78" s="83"/>
    </row>
    <row r="79" spans="1:7" s="63" customFormat="1" x14ac:dyDescent="0.25">
      <c r="A79" s="614" t="s">
        <v>13</v>
      </c>
      <c r="B79" s="614"/>
      <c r="C79" s="275"/>
      <c r="D79" s="615">
        <f>SUM(D73:D78)</f>
        <v>74493</v>
      </c>
      <c r="E79" s="628">
        <f>SUM(E73:E78)</f>
        <v>76529</v>
      </c>
      <c r="F79" s="613">
        <f>SUM(F73:F78)</f>
        <v>2036</v>
      </c>
      <c r="G79" s="83"/>
    </row>
    <row r="80" spans="1:7" s="63" customFormat="1" ht="13.8" x14ac:dyDescent="0.25">
      <c r="A80" s="616" t="s">
        <v>76</v>
      </c>
      <c r="B80" s="616"/>
      <c r="C80" s="83"/>
      <c r="D80" s="83"/>
      <c r="E80" s="83"/>
      <c r="F80" s="83"/>
      <c r="G80" s="83"/>
    </row>
    <row r="81" spans="1:8" s="63" customFormat="1" ht="221.25" customHeight="1" x14ac:dyDescent="0.25">
      <c r="A81" s="83"/>
      <c r="B81" s="83"/>
      <c r="C81" s="83"/>
      <c r="D81" s="83"/>
      <c r="E81" s="83"/>
      <c r="F81" s="83"/>
      <c r="G81" s="83"/>
    </row>
    <row r="82" spans="1:8" s="63" customFormat="1" ht="294" customHeight="1" x14ac:dyDescent="0.25">
      <c r="A82" s="83"/>
      <c r="B82" s="83"/>
      <c r="C82" s="83"/>
      <c r="D82" s="83"/>
      <c r="E82" s="83"/>
      <c r="F82" s="83"/>
      <c r="G82" s="83"/>
    </row>
    <row r="83" spans="1:8" s="63" customFormat="1" x14ac:dyDescent="0.25">
      <c r="A83" s="83"/>
      <c r="B83" s="83"/>
      <c r="C83" s="83"/>
      <c r="D83" s="83"/>
      <c r="E83" s="83"/>
      <c r="F83" s="83"/>
      <c r="G83" s="83"/>
    </row>
    <row r="84" spans="1:8" s="63" customFormat="1" x14ac:dyDescent="0.25">
      <c r="A84" s="1086" t="s">
        <v>917</v>
      </c>
      <c r="B84" s="1086"/>
      <c r="C84" s="1086"/>
      <c r="D84" s="1086"/>
      <c r="E84" s="1086"/>
      <c r="F84" s="1086"/>
      <c r="G84" s="1086"/>
      <c r="H84" s="632">
        <f>F73</f>
        <v>2550</v>
      </c>
    </row>
    <row r="85" spans="1:8" s="63" customFormat="1" ht="26.4" customHeight="1" x14ac:dyDescent="0.25">
      <c r="A85" s="944" t="s">
        <v>406</v>
      </c>
      <c r="B85" s="944"/>
      <c r="C85" s="942"/>
      <c r="D85" s="942"/>
      <c r="E85" s="942"/>
      <c r="F85" s="942"/>
      <c r="G85" s="942"/>
    </row>
    <row r="86" spans="1:8" s="63" customFormat="1" x14ac:dyDescent="0.25">
      <c r="A86" s="341"/>
      <c r="B86" s="341"/>
      <c r="C86" s="83"/>
      <c r="D86" s="83"/>
      <c r="E86" s="83"/>
      <c r="F86" s="83"/>
      <c r="G86" s="83"/>
    </row>
    <row r="87" spans="1:8" s="63" customFormat="1" ht="26.4" customHeight="1" x14ac:dyDescent="0.25">
      <c r="A87" s="941" t="s">
        <v>1151</v>
      </c>
      <c r="B87" s="941"/>
      <c r="C87" s="941"/>
      <c r="D87" s="941"/>
      <c r="E87" s="941"/>
      <c r="F87" s="941"/>
      <c r="G87" s="941"/>
    </row>
    <row r="88" spans="1:8" s="63" customFormat="1" ht="26.4" customHeight="1" x14ac:dyDescent="0.25">
      <c r="A88" s="939" t="s">
        <v>1376</v>
      </c>
      <c r="B88" s="939"/>
      <c r="C88" s="1046"/>
      <c r="D88" s="1046"/>
      <c r="E88" s="1046"/>
      <c r="F88" s="1046"/>
      <c r="G88" s="1046"/>
    </row>
    <row r="89" spans="1:8" s="63" customFormat="1" ht="52.95" customHeight="1" x14ac:dyDescent="0.25">
      <c r="A89" s="1094" t="s">
        <v>1377</v>
      </c>
      <c r="B89" s="1094"/>
      <c r="C89" s="1095"/>
      <c r="D89" s="1095"/>
      <c r="E89" s="1095"/>
      <c r="F89" s="1095"/>
      <c r="G89" s="1095"/>
    </row>
    <row r="90" spans="1:8" s="63" customFormat="1" x14ac:dyDescent="0.25">
      <c r="A90" s="341"/>
      <c r="B90" s="341"/>
      <c r="C90" s="83"/>
      <c r="D90" s="83"/>
      <c r="E90" s="83"/>
      <c r="F90" s="83"/>
      <c r="G90" s="83"/>
    </row>
    <row r="91" spans="1:8" s="63" customFormat="1" ht="26.4" customHeight="1" x14ac:dyDescent="0.25">
      <c r="A91" s="944" t="s">
        <v>642</v>
      </c>
      <c r="B91" s="944"/>
      <c r="C91" s="942"/>
      <c r="D91" s="942"/>
      <c r="E91" s="942"/>
      <c r="F91" s="942"/>
      <c r="G91" s="942"/>
    </row>
    <row r="92" spans="1:8" s="63" customFormat="1" x14ac:dyDescent="0.25">
      <c r="A92" s="472"/>
      <c r="B92" s="472"/>
      <c r="C92" s="472"/>
      <c r="D92" s="379"/>
      <c r="E92" s="1033" t="s">
        <v>610</v>
      </c>
      <c r="F92" s="1033"/>
      <c r="G92" s="83"/>
    </row>
    <row r="93" spans="1:8" s="63" customFormat="1" x14ac:dyDescent="0.25">
      <c r="A93" s="472"/>
      <c r="B93" s="472"/>
      <c r="C93" s="472"/>
      <c r="D93" s="379" t="s">
        <v>313</v>
      </c>
      <c r="E93" s="379" t="s">
        <v>182</v>
      </c>
      <c r="F93" s="379" t="s">
        <v>182</v>
      </c>
      <c r="G93" s="83"/>
    </row>
    <row r="94" spans="1:8" s="63" customFormat="1" x14ac:dyDescent="0.25">
      <c r="A94" s="472" t="s">
        <v>619</v>
      </c>
      <c r="B94" s="472"/>
      <c r="C94" s="472"/>
      <c r="D94" s="379" t="s">
        <v>1098</v>
      </c>
      <c r="E94" s="379" t="s">
        <v>612</v>
      </c>
      <c r="F94" s="379" t="s">
        <v>611</v>
      </c>
      <c r="G94" s="83"/>
    </row>
    <row r="95" spans="1:8" s="63" customFormat="1" x14ac:dyDescent="0.25">
      <c r="A95" s="472"/>
      <c r="B95" s="472"/>
      <c r="C95" s="472"/>
      <c r="D95" s="379" t="s">
        <v>353</v>
      </c>
      <c r="E95" s="379" t="s">
        <v>353</v>
      </c>
      <c r="F95" s="379" t="s">
        <v>353</v>
      </c>
      <c r="G95" s="83"/>
    </row>
    <row r="96" spans="1:8" s="63" customFormat="1" x14ac:dyDescent="0.25">
      <c r="A96" s="617" t="s">
        <v>613</v>
      </c>
      <c r="B96" s="163"/>
      <c r="C96" s="163"/>
      <c r="D96" s="638">
        <v>2500</v>
      </c>
      <c r="E96" s="642">
        <v>2000</v>
      </c>
      <c r="F96" s="642">
        <v>500</v>
      </c>
      <c r="G96" s="83"/>
    </row>
    <row r="97" spans="1:9" s="63" customFormat="1" x14ac:dyDescent="0.25">
      <c r="A97" s="134" t="s">
        <v>305</v>
      </c>
      <c r="B97" s="163"/>
      <c r="C97" s="163"/>
      <c r="D97" s="638">
        <v>7200</v>
      </c>
      <c r="E97" s="643">
        <v>7000</v>
      </c>
      <c r="F97" s="643">
        <v>200</v>
      </c>
      <c r="G97" s="83"/>
    </row>
    <row r="98" spans="1:9" s="63" customFormat="1" x14ac:dyDescent="0.25">
      <c r="A98" s="618" t="s">
        <v>309</v>
      </c>
      <c r="B98" s="163"/>
      <c r="C98" s="163"/>
      <c r="D98" s="638">
        <v>8500</v>
      </c>
      <c r="E98" s="643">
        <v>7000</v>
      </c>
      <c r="F98" s="643">
        <v>1500</v>
      </c>
      <c r="G98" s="83"/>
    </row>
    <row r="99" spans="1:9" s="63" customFormat="1" x14ac:dyDescent="0.25">
      <c r="A99" s="134" t="s">
        <v>614</v>
      </c>
      <c r="B99" s="163"/>
      <c r="C99" s="163"/>
      <c r="D99" s="638">
        <v>4400</v>
      </c>
      <c r="E99" s="643">
        <v>4000</v>
      </c>
      <c r="F99" s="643">
        <v>400</v>
      </c>
      <c r="G99" s="83"/>
    </row>
    <row r="100" spans="1:9" s="63" customFormat="1" x14ac:dyDescent="0.25">
      <c r="A100" s="618" t="s">
        <v>615</v>
      </c>
      <c r="B100" s="163"/>
      <c r="C100" s="163"/>
      <c r="D100" s="638">
        <v>5300</v>
      </c>
      <c r="E100" s="643">
        <v>5000</v>
      </c>
      <c r="F100" s="643">
        <v>300</v>
      </c>
      <c r="G100" s="83"/>
    </row>
    <row r="101" spans="1:9" s="63" customFormat="1" x14ac:dyDescent="0.25">
      <c r="A101" s="134" t="s">
        <v>616</v>
      </c>
      <c r="B101" s="163"/>
      <c r="C101" s="163"/>
      <c r="D101" s="638">
        <v>1900</v>
      </c>
      <c r="E101" s="643">
        <v>1000</v>
      </c>
      <c r="F101" s="643">
        <v>900</v>
      </c>
      <c r="G101" s="83"/>
    </row>
    <row r="102" spans="1:9" s="63" customFormat="1" x14ac:dyDescent="0.25">
      <c r="A102" s="134" t="s">
        <v>617</v>
      </c>
      <c r="B102" s="163"/>
      <c r="C102" s="163"/>
      <c r="D102" s="639">
        <v>3100</v>
      </c>
      <c r="E102" s="644">
        <v>3000</v>
      </c>
      <c r="F102" s="644">
        <v>100</v>
      </c>
      <c r="G102" s="83"/>
    </row>
    <row r="103" spans="1:9" s="63" customFormat="1" ht="12.75" customHeight="1" x14ac:dyDescent="0.25">
      <c r="A103" s="1099" t="s">
        <v>672</v>
      </c>
      <c r="B103" s="1098"/>
      <c r="C103" s="1098"/>
      <c r="D103" s="638">
        <f>SUM(D96:D102)</f>
        <v>32900</v>
      </c>
      <c r="E103" s="637">
        <f>SUM(E96:E102)</f>
        <v>29000</v>
      </c>
      <c r="F103" s="637">
        <f>SUM(F96:F102)</f>
        <v>3900</v>
      </c>
      <c r="G103" s="83"/>
    </row>
    <row r="104" spans="1:9" s="63" customFormat="1" x14ac:dyDescent="0.25">
      <c r="A104" s="1099" t="s">
        <v>668</v>
      </c>
      <c r="B104" s="1098"/>
      <c r="C104" s="1098"/>
      <c r="D104" s="640">
        <v>1191</v>
      </c>
      <c r="E104" s="637"/>
      <c r="F104" s="637"/>
      <c r="G104" s="619"/>
      <c r="H104" s="83"/>
    </row>
    <row r="105" spans="1:9" s="63" customFormat="1" ht="13.5" customHeight="1" x14ac:dyDescent="0.25">
      <c r="A105" s="620" t="s">
        <v>788</v>
      </c>
      <c r="B105" s="305"/>
      <c r="C105" s="305"/>
      <c r="D105" s="640">
        <v>0</v>
      </c>
      <c r="E105" s="637"/>
      <c r="F105" s="637"/>
      <c r="G105" s="619"/>
      <c r="H105" s="83"/>
    </row>
    <row r="106" spans="1:9" s="63" customFormat="1" ht="13.8" thickBot="1" x14ac:dyDescent="0.3">
      <c r="A106" s="621" t="s">
        <v>669</v>
      </c>
      <c r="B106" s="621"/>
      <c r="C106" s="621"/>
      <c r="D106" s="641">
        <f>+D103+D104</f>
        <v>34091</v>
      </c>
      <c r="E106" s="637"/>
      <c r="F106" s="637"/>
      <c r="G106" s="619"/>
      <c r="H106" s="83"/>
    </row>
    <row r="107" spans="1:9" s="63" customFormat="1" x14ac:dyDescent="0.25">
      <c r="A107" s="341"/>
      <c r="B107" s="341"/>
      <c r="C107" s="83"/>
      <c r="D107" s="83"/>
      <c r="E107" s="83"/>
      <c r="F107" s="83"/>
      <c r="G107" s="83"/>
    </row>
    <row r="108" spans="1:9" s="63" customFormat="1" ht="26.4" customHeight="1" x14ac:dyDescent="0.25">
      <c r="A108" s="941" t="s">
        <v>542</v>
      </c>
      <c r="B108" s="1065"/>
      <c r="C108" s="1065"/>
      <c r="D108" s="1065"/>
      <c r="E108" s="1065"/>
      <c r="F108" s="1065"/>
      <c r="G108" s="1065"/>
    </row>
    <row r="109" spans="1:9" s="63" customFormat="1" x14ac:dyDescent="0.25">
      <c r="A109" s="472"/>
      <c r="B109" s="472"/>
      <c r="C109" s="472"/>
      <c r="D109" s="379"/>
      <c r="E109" s="1033" t="s">
        <v>610</v>
      </c>
      <c r="F109" s="1033"/>
      <c r="G109" s="83"/>
      <c r="I109" s="622"/>
    </row>
    <row r="110" spans="1:9" s="63" customFormat="1" x14ac:dyDescent="0.25">
      <c r="A110" s="472"/>
      <c r="B110" s="472"/>
      <c r="C110" s="472"/>
      <c r="D110" s="379" t="s">
        <v>313</v>
      </c>
      <c r="E110" s="379" t="s">
        <v>182</v>
      </c>
      <c r="F110" s="379" t="s">
        <v>182</v>
      </c>
      <c r="G110" s="83"/>
      <c r="I110" s="623"/>
    </row>
    <row r="111" spans="1:9" s="63" customFormat="1" x14ac:dyDescent="0.25">
      <c r="A111" s="472" t="s">
        <v>619</v>
      </c>
      <c r="B111" s="472"/>
      <c r="C111" s="472"/>
      <c r="D111" s="379" t="s">
        <v>618</v>
      </c>
      <c r="E111" s="379" t="s">
        <v>612</v>
      </c>
      <c r="F111" s="379" t="s">
        <v>611</v>
      </c>
      <c r="G111" s="83"/>
      <c r="I111" s="622"/>
    </row>
    <row r="112" spans="1:9" s="63" customFormat="1" x14ac:dyDescent="0.25">
      <c r="A112" s="618" t="s">
        <v>613</v>
      </c>
      <c r="B112" s="618"/>
      <c r="C112" s="624"/>
      <c r="D112" s="646">
        <v>41.6</v>
      </c>
      <c r="E112" s="645">
        <v>33.299999999999997</v>
      </c>
      <c r="F112" s="645">
        <v>8.3000000000000007</v>
      </c>
      <c r="G112" s="83"/>
      <c r="I112" s="623"/>
    </row>
    <row r="113" spans="1:9" s="63" customFormat="1" x14ac:dyDescent="0.25">
      <c r="A113" s="134" t="s">
        <v>305</v>
      </c>
      <c r="B113" s="134"/>
      <c r="C113" s="624"/>
      <c r="D113" s="646">
        <v>120</v>
      </c>
      <c r="E113" s="645">
        <v>116.7</v>
      </c>
      <c r="F113" s="645">
        <v>3.3</v>
      </c>
      <c r="G113" s="83"/>
      <c r="I113" s="622"/>
    </row>
    <row r="114" spans="1:9" s="63" customFormat="1" x14ac:dyDescent="0.25">
      <c r="A114" s="618" t="s">
        <v>309</v>
      </c>
      <c r="B114" s="618"/>
      <c r="C114" s="624"/>
      <c r="D114" s="646">
        <v>141.69999999999999</v>
      </c>
      <c r="E114" s="645">
        <v>116.7</v>
      </c>
      <c r="F114" s="645">
        <v>25</v>
      </c>
      <c r="G114" s="83"/>
      <c r="I114" s="623"/>
    </row>
    <row r="115" spans="1:9" s="63" customFormat="1" x14ac:dyDescent="0.25">
      <c r="A115" s="134" t="s">
        <v>614</v>
      </c>
      <c r="B115" s="134"/>
      <c r="C115" s="624"/>
      <c r="D115" s="646">
        <v>73.400000000000006</v>
      </c>
      <c r="E115" s="645">
        <v>66.7</v>
      </c>
      <c r="F115" s="645">
        <v>6.7</v>
      </c>
      <c r="G115" s="83"/>
      <c r="I115" s="623"/>
    </row>
    <row r="116" spans="1:9" s="63" customFormat="1" x14ac:dyDescent="0.25">
      <c r="A116" s="618" t="s">
        <v>615</v>
      </c>
      <c r="B116" s="618"/>
      <c r="C116" s="624"/>
      <c r="D116" s="646">
        <v>88.3</v>
      </c>
      <c r="E116" s="645">
        <v>83.3</v>
      </c>
      <c r="F116" s="645">
        <v>5</v>
      </c>
      <c r="G116" s="83"/>
      <c r="I116" s="625"/>
    </row>
    <row r="117" spans="1:9" s="63" customFormat="1" x14ac:dyDescent="0.25">
      <c r="A117" s="134" t="s">
        <v>616</v>
      </c>
      <c r="B117" s="134"/>
      <c r="C117" s="624"/>
      <c r="D117" s="646">
        <v>31.7</v>
      </c>
      <c r="E117" s="645">
        <v>16.7</v>
      </c>
      <c r="F117" s="645">
        <v>15</v>
      </c>
      <c r="G117" s="83"/>
      <c r="I117" s="625"/>
    </row>
    <row r="118" spans="1:9" s="63" customFormat="1" x14ac:dyDescent="0.25">
      <c r="A118" s="134" t="s">
        <v>617</v>
      </c>
      <c r="B118" s="134"/>
      <c r="C118" s="624"/>
      <c r="D118" s="647">
        <v>52.1</v>
      </c>
      <c r="E118" s="650">
        <v>50.4</v>
      </c>
      <c r="F118" s="650">
        <v>1.7</v>
      </c>
      <c r="G118" s="83"/>
    </row>
    <row r="119" spans="1:9" s="63" customFormat="1" x14ac:dyDescent="0.25">
      <c r="A119" s="620" t="s">
        <v>303</v>
      </c>
      <c r="B119" s="620"/>
      <c r="C119" s="624"/>
      <c r="D119" s="646">
        <f>SUM(D112:D118)</f>
        <v>548.79999999999995</v>
      </c>
      <c r="E119" s="650">
        <f>SUM(E112:E118)</f>
        <v>483.79999999999995</v>
      </c>
      <c r="F119" s="650">
        <f>SUM(F112:F118)</f>
        <v>65</v>
      </c>
      <c r="G119" s="83"/>
    </row>
    <row r="120" spans="1:9" s="63" customFormat="1" x14ac:dyDescent="0.25">
      <c r="A120" s="620" t="s">
        <v>670</v>
      </c>
      <c r="B120" s="620"/>
      <c r="C120" s="624"/>
      <c r="D120" s="648">
        <v>19.899999999999999</v>
      </c>
      <c r="E120" s="645"/>
      <c r="F120" s="645"/>
      <c r="G120" s="83"/>
    </row>
    <row r="121" spans="1:9" s="63" customFormat="1" ht="14.25" customHeight="1" x14ac:dyDescent="0.25">
      <c r="A121" s="620" t="s">
        <v>788</v>
      </c>
      <c r="B121" s="620"/>
      <c r="C121" s="624"/>
      <c r="D121" s="648">
        <v>0</v>
      </c>
      <c r="E121" s="645"/>
      <c r="F121" s="645"/>
      <c r="G121" s="83"/>
    </row>
    <row r="122" spans="1:9" s="63" customFormat="1" ht="13.8" thickBot="1" x14ac:dyDescent="0.3">
      <c r="A122" s="621" t="s">
        <v>671</v>
      </c>
      <c r="B122" s="621"/>
      <c r="C122" s="624"/>
      <c r="D122" s="649">
        <f>+D119+D120</f>
        <v>568.69999999999993</v>
      </c>
      <c r="E122" s="645"/>
      <c r="F122" s="645"/>
      <c r="G122" s="83"/>
    </row>
    <row r="123" spans="1:9" s="63" customFormat="1" x14ac:dyDescent="0.25">
      <c r="A123" s="621"/>
      <c r="B123" s="624"/>
      <c r="C123" s="622"/>
      <c r="D123" s="626"/>
      <c r="E123" s="626"/>
      <c r="F123" s="83"/>
    </row>
    <row r="124" spans="1:9" s="63" customFormat="1" x14ac:dyDescent="0.25">
      <c r="A124" s="944" t="s">
        <v>304</v>
      </c>
      <c r="B124" s="944"/>
      <c r="C124" s="942"/>
      <c r="D124" s="942"/>
      <c r="E124" s="942"/>
      <c r="F124" s="942"/>
      <c r="G124" s="942"/>
    </row>
    <row r="125" spans="1:9" s="63" customFormat="1" x14ac:dyDescent="0.25">
      <c r="A125" s="472"/>
      <c r="B125" s="472"/>
      <c r="C125" s="472"/>
      <c r="D125" s="379" t="s">
        <v>331</v>
      </c>
      <c r="E125" s="379"/>
      <c r="F125" s="379"/>
      <c r="G125" s="83"/>
    </row>
    <row r="126" spans="1:9" s="63" customFormat="1" x14ac:dyDescent="0.25">
      <c r="A126" s="472"/>
      <c r="B126" s="472"/>
      <c r="C126" s="472"/>
      <c r="D126" s="379" t="s">
        <v>332</v>
      </c>
      <c r="E126" s="379" t="s">
        <v>313</v>
      </c>
      <c r="F126" s="379" t="s">
        <v>314</v>
      </c>
      <c r="G126" s="83"/>
    </row>
    <row r="127" spans="1:9" s="63" customFormat="1" ht="12.75" customHeight="1" x14ac:dyDescent="0.25">
      <c r="A127" s="472" t="s">
        <v>619</v>
      </c>
      <c r="B127" s="1053" t="s">
        <v>1157</v>
      </c>
      <c r="C127" s="1096"/>
      <c r="D127" s="379" t="s">
        <v>1114</v>
      </c>
      <c r="E127" s="379" t="s">
        <v>1098</v>
      </c>
      <c r="F127" s="379"/>
      <c r="G127" s="83"/>
    </row>
    <row r="128" spans="1:9" s="63" customFormat="1" x14ac:dyDescent="0.25">
      <c r="A128" s="473"/>
      <c r="B128" s="473"/>
      <c r="C128" s="473"/>
      <c r="D128" s="379" t="s">
        <v>298</v>
      </c>
      <c r="E128" s="379" t="s">
        <v>298</v>
      </c>
      <c r="F128" s="379" t="s">
        <v>298</v>
      </c>
      <c r="G128" s="83"/>
    </row>
    <row r="129" spans="1:8" s="63" customFormat="1" x14ac:dyDescent="0.25">
      <c r="A129" s="274" t="s">
        <v>305</v>
      </c>
      <c r="B129" s="1097" t="s">
        <v>306</v>
      </c>
      <c r="C129" s="1098"/>
      <c r="D129" s="633">
        <v>0</v>
      </c>
      <c r="E129" s="638">
        <v>772</v>
      </c>
      <c r="F129" s="633">
        <v>-772</v>
      </c>
      <c r="G129" s="83"/>
    </row>
    <row r="130" spans="1:8" s="63" customFormat="1" x14ac:dyDescent="0.25">
      <c r="A130" s="314"/>
      <c r="B130" s="1097" t="s">
        <v>307</v>
      </c>
      <c r="C130" s="1098"/>
      <c r="D130" s="634">
        <v>1089</v>
      </c>
      <c r="E130" s="638">
        <v>1503</v>
      </c>
      <c r="F130" s="633">
        <v>-414</v>
      </c>
      <c r="G130" s="83"/>
    </row>
    <row r="131" spans="1:8" s="63" customFormat="1" x14ac:dyDescent="0.25">
      <c r="A131" s="274" t="s">
        <v>617</v>
      </c>
      <c r="B131" s="1100" t="s">
        <v>308</v>
      </c>
      <c r="C131" s="1099"/>
      <c r="D131" s="651">
        <v>690</v>
      </c>
      <c r="E131" s="640">
        <v>866</v>
      </c>
      <c r="F131" s="636">
        <v>-176</v>
      </c>
      <c r="G131" s="83"/>
    </row>
    <row r="132" spans="1:8" s="63" customFormat="1" x14ac:dyDescent="0.25">
      <c r="A132" s="274" t="s">
        <v>620</v>
      </c>
      <c r="B132" s="1100" t="s">
        <v>310</v>
      </c>
      <c r="C132" s="1099"/>
      <c r="D132" s="636">
        <v>427</v>
      </c>
      <c r="E132" s="640">
        <v>654</v>
      </c>
      <c r="F132" s="636">
        <v>-227</v>
      </c>
      <c r="G132" s="83"/>
    </row>
    <row r="133" spans="1:8" s="63" customFormat="1" x14ac:dyDescent="0.25">
      <c r="A133" s="324" t="s">
        <v>615</v>
      </c>
      <c r="B133" s="1091" t="s">
        <v>311</v>
      </c>
      <c r="C133" s="1092"/>
      <c r="D133" s="652">
        <v>134</v>
      </c>
      <c r="E133" s="639">
        <v>245</v>
      </c>
      <c r="F133" s="652">
        <v>-111</v>
      </c>
      <c r="G133" s="83"/>
    </row>
    <row r="134" spans="1:8" s="63" customFormat="1" ht="12.75" customHeight="1" x14ac:dyDescent="0.25">
      <c r="A134" s="311"/>
      <c r="B134" s="311"/>
      <c r="C134" s="83"/>
      <c r="D134" s="83"/>
      <c r="E134" s="83"/>
      <c r="F134" s="83"/>
      <c r="G134" s="83"/>
    </row>
    <row r="135" spans="1:8" s="63" customFormat="1" x14ac:dyDescent="0.25">
      <c r="A135" s="952" t="s">
        <v>918</v>
      </c>
      <c r="B135" s="952"/>
      <c r="C135" s="952"/>
      <c r="D135" s="952"/>
      <c r="E135" s="952"/>
      <c r="F135" s="952"/>
      <c r="G135" s="952"/>
      <c r="H135" s="632">
        <f>F74</f>
        <v>-830</v>
      </c>
    </row>
    <row r="136" spans="1:8" s="63" customFormat="1" ht="39.6" customHeight="1" x14ac:dyDescent="0.25">
      <c r="A136" s="944" t="s">
        <v>1152</v>
      </c>
      <c r="B136" s="944"/>
      <c r="C136" s="944"/>
      <c r="D136" s="944"/>
      <c r="E136" s="944"/>
      <c r="F136" s="944"/>
      <c r="G136" s="944"/>
    </row>
    <row r="137" spans="1:8" s="63" customFormat="1" ht="9.75" customHeight="1" x14ac:dyDescent="0.25">
      <c r="A137" s="341"/>
      <c r="B137" s="341"/>
      <c r="C137" s="83"/>
      <c r="D137" s="83"/>
      <c r="E137" s="83"/>
      <c r="F137" s="83"/>
      <c r="G137" s="83"/>
    </row>
    <row r="138" spans="1:8" s="63" customFormat="1" ht="39.6" customHeight="1" x14ac:dyDescent="0.25">
      <c r="A138" s="944" t="s">
        <v>1153</v>
      </c>
      <c r="B138" s="944"/>
      <c r="C138" s="944"/>
      <c r="D138" s="944"/>
      <c r="E138" s="944"/>
      <c r="F138" s="944"/>
      <c r="G138" s="944"/>
    </row>
    <row r="139" spans="1:8" s="63" customFormat="1" ht="92.4" customHeight="1" x14ac:dyDescent="0.25">
      <c r="A139" s="944" t="s">
        <v>1378</v>
      </c>
      <c r="B139" s="944"/>
      <c r="C139" s="944"/>
      <c r="D139" s="944"/>
      <c r="E139" s="944"/>
      <c r="F139" s="944"/>
      <c r="G139" s="944"/>
    </row>
    <row r="140" spans="1:8" s="63" customFormat="1" ht="8.25" customHeight="1" x14ac:dyDescent="0.25">
      <c r="A140" s="341"/>
      <c r="B140" s="341"/>
      <c r="C140" s="83"/>
      <c r="D140" s="83"/>
      <c r="E140" s="83"/>
      <c r="F140" s="83"/>
      <c r="G140" s="83"/>
    </row>
    <row r="141" spans="1:8" s="63" customFormat="1" ht="52.95" customHeight="1" x14ac:dyDescent="0.25">
      <c r="A141" s="944" t="s">
        <v>1154</v>
      </c>
      <c r="B141" s="944"/>
      <c r="C141" s="944"/>
      <c r="D141" s="944"/>
      <c r="E141" s="944"/>
      <c r="F141" s="944"/>
      <c r="G141" s="944"/>
    </row>
    <row r="142" spans="1:8" s="63" customFormat="1" ht="11.25" customHeight="1" x14ac:dyDescent="0.25">
      <c r="A142" s="341"/>
      <c r="B142" s="341"/>
      <c r="C142" s="83"/>
      <c r="D142" s="83"/>
      <c r="E142" s="83"/>
      <c r="F142" s="83"/>
      <c r="G142" s="83"/>
    </row>
    <row r="143" spans="1:8" s="63" customFormat="1" x14ac:dyDescent="0.25">
      <c r="A143" s="952" t="s">
        <v>919</v>
      </c>
      <c r="B143" s="952"/>
      <c r="C143" s="952"/>
      <c r="D143" s="952"/>
      <c r="E143" s="952"/>
      <c r="F143" s="952"/>
      <c r="G143" s="952"/>
      <c r="H143" s="632">
        <f>F75</f>
        <v>26</v>
      </c>
    </row>
    <row r="144" spans="1:8" s="63" customFormat="1" ht="37.5" customHeight="1" x14ac:dyDescent="0.25">
      <c r="A144" s="944" t="s">
        <v>1078</v>
      </c>
      <c r="B144" s="944"/>
      <c r="C144" s="944"/>
      <c r="D144" s="944"/>
      <c r="E144" s="944"/>
      <c r="F144" s="944"/>
      <c r="G144" s="944"/>
    </row>
    <row r="145" spans="1:8" s="63" customFormat="1" ht="9" customHeight="1" x14ac:dyDescent="0.25">
      <c r="A145" s="341"/>
      <c r="B145" s="341"/>
      <c r="C145" s="83"/>
      <c r="D145" s="83"/>
      <c r="E145" s="83"/>
      <c r="F145" s="83"/>
      <c r="G145" s="83"/>
    </row>
    <row r="146" spans="1:8" s="63" customFormat="1" x14ac:dyDescent="0.25">
      <c r="A146" s="952" t="s">
        <v>920</v>
      </c>
      <c r="B146" s="952"/>
      <c r="C146" s="952"/>
      <c r="D146" s="952"/>
      <c r="E146" s="952"/>
      <c r="F146" s="952"/>
      <c r="G146" s="952"/>
      <c r="H146" s="632">
        <f>F76</f>
        <v>466</v>
      </c>
    </row>
    <row r="147" spans="1:8" s="63" customFormat="1" ht="79.2" customHeight="1" x14ac:dyDescent="0.25">
      <c r="A147" s="944" t="s">
        <v>1155</v>
      </c>
      <c r="B147" s="944"/>
      <c r="C147" s="944"/>
      <c r="D147" s="944"/>
      <c r="E147" s="944"/>
      <c r="F147" s="944"/>
      <c r="G147" s="944"/>
    </row>
    <row r="148" spans="1:8" s="63" customFormat="1" ht="9.75" customHeight="1" x14ac:dyDescent="0.25">
      <c r="A148" s="341"/>
      <c r="B148" s="341"/>
      <c r="C148" s="83"/>
      <c r="D148" s="83"/>
      <c r="E148" s="83"/>
      <c r="F148" s="83"/>
      <c r="G148" s="83"/>
    </row>
    <row r="149" spans="1:8" s="63" customFormat="1" x14ac:dyDescent="0.25">
      <c r="A149" s="952" t="s">
        <v>921</v>
      </c>
      <c r="B149" s="952"/>
      <c r="C149" s="952"/>
      <c r="D149" s="952"/>
      <c r="E149" s="952"/>
      <c r="F149" s="952"/>
      <c r="G149" s="952"/>
      <c r="H149" s="632">
        <f>F77</f>
        <v>-68</v>
      </c>
    </row>
    <row r="150" spans="1:8" s="63" customFormat="1" ht="39.6" customHeight="1" x14ac:dyDescent="0.25">
      <c r="A150" s="944" t="s">
        <v>312</v>
      </c>
      <c r="B150" s="944"/>
      <c r="C150" s="942"/>
      <c r="D150" s="942"/>
      <c r="E150" s="942"/>
      <c r="F150" s="942"/>
      <c r="G150" s="942"/>
    </row>
    <row r="151" spans="1:8" s="63" customFormat="1" ht="10.5" customHeight="1" x14ac:dyDescent="0.25">
      <c r="A151" s="341"/>
      <c r="B151" s="341"/>
      <c r="C151" s="83"/>
      <c r="D151" s="83"/>
      <c r="E151" s="83"/>
      <c r="F151" s="83"/>
      <c r="G151" s="83"/>
    </row>
    <row r="152" spans="1:8" s="63" customFormat="1" x14ac:dyDescent="0.25">
      <c r="A152" s="952" t="s">
        <v>922</v>
      </c>
      <c r="B152" s="952"/>
      <c r="C152" s="952"/>
      <c r="D152" s="952"/>
      <c r="E152" s="952"/>
      <c r="F152" s="952"/>
      <c r="G152" s="952"/>
      <c r="H152" s="632">
        <f>F78</f>
        <v>-108</v>
      </c>
    </row>
    <row r="153" spans="1:8" s="63" customFormat="1" ht="66" customHeight="1" x14ac:dyDescent="0.25">
      <c r="A153" s="944" t="s">
        <v>1156</v>
      </c>
      <c r="B153" s="944"/>
      <c r="C153" s="944"/>
      <c r="D153" s="944"/>
      <c r="E153" s="944"/>
      <c r="F153" s="944"/>
      <c r="G153" s="944"/>
    </row>
    <row r="154" spans="1:8" s="63" customFormat="1" x14ac:dyDescent="0.25">
      <c r="A154" s="163"/>
      <c r="B154" s="163"/>
      <c r="C154" s="83"/>
      <c r="D154" s="83"/>
      <c r="E154" s="83"/>
      <c r="F154" s="83"/>
      <c r="G154" s="83"/>
    </row>
    <row r="155" spans="1:8" s="63" customFormat="1" x14ac:dyDescent="0.25">
      <c r="A155" s="305"/>
      <c r="B155" s="305"/>
      <c r="C155" s="125"/>
    </row>
  </sheetData>
  <mergeCells count="62">
    <mergeCell ref="A144:G144"/>
    <mergeCell ref="B130:C130"/>
    <mergeCell ref="B131:C131"/>
    <mergeCell ref="B132:C132"/>
    <mergeCell ref="A139:G139"/>
    <mergeCell ref="A135:G135"/>
    <mergeCell ref="A141:G141"/>
    <mergeCell ref="A143:G143"/>
    <mergeCell ref="A138:G138"/>
    <mergeCell ref="A146:G146"/>
    <mergeCell ref="A153:G153"/>
    <mergeCell ref="A147:G147"/>
    <mergeCell ref="A149:G149"/>
    <mergeCell ref="A150:G150"/>
    <mergeCell ref="A152:G152"/>
    <mergeCell ref="A124:G124"/>
    <mergeCell ref="A136:G136"/>
    <mergeCell ref="B133:C133"/>
    <mergeCell ref="A76:B76"/>
    <mergeCell ref="A88:G88"/>
    <mergeCell ref="A89:G89"/>
    <mergeCell ref="A91:G91"/>
    <mergeCell ref="A108:G108"/>
    <mergeCell ref="B127:C127"/>
    <mergeCell ref="B129:C129"/>
    <mergeCell ref="A104:C104"/>
    <mergeCell ref="E109:F109"/>
    <mergeCell ref="E92:F92"/>
    <mergeCell ref="A103:C103"/>
    <mergeCell ref="A3:G3"/>
    <mergeCell ref="A38:G38"/>
    <mergeCell ref="A39:G39"/>
    <mergeCell ref="A41:G41"/>
    <mergeCell ref="A5:D5"/>
    <mergeCell ref="A18:G18"/>
    <mergeCell ref="A19:G19"/>
    <mergeCell ref="A12:B12"/>
    <mergeCell ref="A13:B13"/>
    <mergeCell ref="A14:C14"/>
    <mergeCell ref="A15:B15"/>
    <mergeCell ref="A32:B32"/>
    <mergeCell ref="A16:B16"/>
    <mergeCell ref="A21:G21"/>
    <mergeCell ref="A49:G49"/>
    <mergeCell ref="A42:G42"/>
    <mergeCell ref="A44:G44"/>
    <mergeCell ref="A46:G46"/>
    <mergeCell ref="A48:G48"/>
    <mergeCell ref="A68:G68"/>
    <mergeCell ref="A84:G84"/>
    <mergeCell ref="A85:G85"/>
    <mergeCell ref="A87:G87"/>
    <mergeCell ref="A64:G64"/>
    <mergeCell ref="A66:G66"/>
    <mergeCell ref="A63:G63"/>
    <mergeCell ref="A60:G60"/>
    <mergeCell ref="A61:G61"/>
    <mergeCell ref="A51:G51"/>
    <mergeCell ref="A56:G56"/>
    <mergeCell ref="A58:G58"/>
    <mergeCell ref="A53:G53"/>
    <mergeCell ref="A55:G55"/>
  </mergeCells>
  <phoneticPr fontId="11" type="noConversion"/>
  <pageMargins left="0.74803149606299213" right="0.74803149606299213" top="0.98425196850393704" bottom="0.98425196850393704" header="0.51181102362204722" footer="0.51181102362204722"/>
  <pageSetup paperSize="9" scale="99" firstPageNumber="55" orientation="portrait" useFirstPageNumber="1" r:id="rId1"/>
  <headerFooter alignWithMargins="0">
    <oddFooter>&amp;L&amp;8Chartered Accountants Australia New Zealand&amp;C&amp;9&amp;P&amp;R&amp;8VICTORIAN CITY COUNCIL</oddFooter>
  </headerFooter>
  <rowBreaks count="3" manualBreakCount="3">
    <brk id="40" max="6" man="1"/>
    <brk id="83" max="6" man="1"/>
    <brk id="123" max="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Normal="100" zoomScaleSheetLayoutView="100" zoomScalePageLayoutView="85" workbookViewId="0">
      <selection activeCell="A40" sqref="A40"/>
    </sheetView>
  </sheetViews>
  <sheetFormatPr defaultColWidth="9.109375" defaultRowHeight="13.2" x14ac:dyDescent="0.25"/>
  <cols>
    <col min="1" max="1" width="42.88671875" style="556" customWidth="1"/>
    <col min="2" max="2" width="9.109375" style="673" customWidth="1"/>
    <col min="3" max="5" width="12" style="673" customWidth="1"/>
    <col min="6" max="6" width="10.5546875" style="468" customWidth="1"/>
    <col min="7" max="7" width="10" style="468" customWidth="1"/>
    <col min="8" max="16384" width="9.109375" style="468"/>
  </cols>
  <sheetData>
    <row r="1" spans="1:5" ht="16.8" x14ac:dyDescent="0.3">
      <c r="A1" s="1104" t="s">
        <v>930</v>
      </c>
      <c r="B1" s="1104"/>
      <c r="C1" s="1104"/>
      <c r="D1" s="1104"/>
      <c r="E1" s="1104"/>
    </row>
    <row r="2" spans="1:5" x14ac:dyDescent="0.25">
      <c r="A2" s="600"/>
      <c r="B2" s="600"/>
      <c r="C2" s="600"/>
      <c r="D2" s="600"/>
      <c r="E2" s="600"/>
    </row>
    <row r="3" spans="1:5" ht="51" customHeight="1" x14ac:dyDescent="0.25">
      <c r="A3" s="966" t="s">
        <v>1386</v>
      </c>
      <c r="B3" s="966"/>
      <c r="C3" s="966"/>
      <c r="D3" s="966"/>
      <c r="E3" s="966"/>
    </row>
    <row r="4" spans="1:5" ht="10.5" customHeight="1" x14ac:dyDescent="0.25">
      <c r="A4" s="899"/>
      <c r="B4" s="899"/>
      <c r="C4" s="899"/>
      <c r="D4" s="899"/>
      <c r="E4" s="899"/>
    </row>
    <row r="5" spans="1:5" x14ac:dyDescent="0.25">
      <c r="A5" s="966" t="s">
        <v>117</v>
      </c>
      <c r="B5" s="966"/>
      <c r="C5" s="966"/>
      <c r="D5" s="966"/>
      <c r="E5" s="966"/>
    </row>
    <row r="6" spans="1:5" ht="39.75" customHeight="1" x14ac:dyDescent="0.25">
      <c r="A6" s="1109" t="s">
        <v>1379</v>
      </c>
      <c r="B6" s="1110"/>
      <c r="C6" s="1110"/>
      <c r="D6" s="1110"/>
      <c r="E6" s="1110"/>
    </row>
    <row r="7" spans="1:5" ht="38.25" customHeight="1" x14ac:dyDescent="0.25">
      <c r="A7" s="1109" t="s">
        <v>1380</v>
      </c>
      <c r="B7" s="1110"/>
      <c r="C7" s="1110"/>
      <c r="D7" s="1110"/>
      <c r="E7" s="1110"/>
    </row>
    <row r="8" spans="1:5" ht="39.75" customHeight="1" x14ac:dyDescent="0.25">
      <c r="A8" s="1109" t="s">
        <v>1381</v>
      </c>
      <c r="B8" s="1110"/>
      <c r="C8" s="1110"/>
      <c r="D8" s="1110"/>
      <c r="E8" s="1110"/>
    </row>
    <row r="9" spans="1:5" ht="12.75" customHeight="1" x14ac:dyDescent="0.25">
      <c r="A9" s="600"/>
      <c r="B9" s="600"/>
      <c r="C9" s="600"/>
      <c r="D9" s="600"/>
      <c r="E9" s="600"/>
    </row>
    <row r="10" spans="1:5" x14ac:dyDescent="0.25">
      <c r="A10" s="32" t="s">
        <v>931</v>
      </c>
      <c r="B10" s="600"/>
      <c r="C10" s="600"/>
      <c r="D10" s="600"/>
      <c r="E10" s="600"/>
    </row>
    <row r="11" spans="1:5" x14ac:dyDescent="0.25">
      <c r="A11" s="1107"/>
      <c r="B11" s="434"/>
      <c r="C11" s="380" t="s">
        <v>331</v>
      </c>
      <c r="D11" s="380"/>
      <c r="E11" s="380"/>
    </row>
    <row r="12" spans="1:5" x14ac:dyDescent="0.25">
      <c r="A12" s="1103"/>
      <c r="B12" s="434"/>
      <c r="C12" s="380" t="s">
        <v>332</v>
      </c>
      <c r="D12" s="380" t="s">
        <v>313</v>
      </c>
      <c r="E12" s="380" t="s">
        <v>314</v>
      </c>
    </row>
    <row r="13" spans="1:5" x14ac:dyDescent="0.25">
      <c r="A13" s="1103"/>
      <c r="B13" s="658" t="s">
        <v>72</v>
      </c>
      <c r="C13" s="380" t="s">
        <v>1114</v>
      </c>
      <c r="D13" s="380" t="s">
        <v>1098</v>
      </c>
      <c r="E13" s="380"/>
    </row>
    <row r="14" spans="1:5" x14ac:dyDescent="0.25">
      <c r="A14" s="1103"/>
      <c r="B14" s="434"/>
      <c r="C14" s="380" t="s">
        <v>298</v>
      </c>
      <c r="D14" s="380" t="s">
        <v>298</v>
      </c>
      <c r="E14" s="380" t="s">
        <v>298</v>
      </c>
    </row>
    <row r="15" spans="1:5" x14ac:dyDescent="0.25">
      <c r="A15" s="9" t="s">
        <v>156</v>
      </c>
      <c r="B15" s="667" t="s">
        <v>932</v>
      </c>
      <c r="C15" s="653"/>
      <c r="D15" s="474"/>
      <c r="E15" s="653"/>
    </row>
    <row r="16" spans="1:5" x14ac:dyDescent="0.25">
      <c r="A16" s="24" t="s">
        <v>157</v>
      </c>
      <c r="B16" s="24"/>
      <c r="C16" s="600"/>
      <c r="D16" s="474"/>
      <c r="E16" s="600"/>
    </row>
    <row r="17" spans="1:5" x14ac:dyDescent="0.25">
      <c r="A17" s="319" t="s">
        <v>73</v>
      </c>
      <c r="B17" s="23"/>
      <c r="C17" s="660">
        <f>+'3'!C177</f>
        <v>41900</v>
      </c>
      <c r="D17" s="476">
        <f>+'3'!D177</f>
        <v>43357</v>
      </c>
      <c r="E17" s="660">
        <f t="shared" ref="E17:E22" si="0">+D17-C17</f>
        <v>1457</v>
      </c>
    </row>
    <row r="18" spans="1:5" x14ac:dyDescent="0.25">
      <c r="A18" s="40" t="s">
        <v>789</v>
      </c>
      <c r="B18" s="23"/>
      <c r="C18" s="660">
        <f>+'3'!C178+'3'!C179</f>
        <v>9554</v>
      </c>
      <c r="D18" s="476">
        <f>+'3'!D178+'3'!D179</f>
        <v>10370</v>
      </c>
      <c r="E18" s="660">
        <f t="shared" si="0"/>
        <v>816</v>
      </c>
    </row>
    <row r="19" spans="1:5" x14ac:dyDescent="0.25">
      <c r="A19" s="319" t="s">
        <v>391</v>
      </c>
      <c r="B19" s="23"/>
      <c r="C19" s="660">
        <f>+'3'!C180</f>
        <v>13313</v>
      </c>
      <c r="D19" s="476">
        <f>+'3'!D180</f>
        <v>13617</v>
      </c>
      <c r="E19" s="660">
        <f t="shared" si="0"/>
        <v>304</v>
      </c>
    </row>
    <row r="20" spans="1:5" x14ac:dyDescent="0.25">
      <c r="A20" s="319" t="s">
        <v>392</v>
      </c>
      <c r="B20" s="23"/>
      <c r="C20" s="660">
        <f>+'3'!C181</f>
        <v>2903</v>
      </c>
      <c r="D20" s="476">
        <f>+'3'!D181</f>
        <v>6277</v>
      </c>
      <c r="E20" s="660">
        <f t="shared" si="0"/>
        <v>3374</v>
      </c>
    </row>
    <row r="21" spans="1:5" x14ac:dyDescent="0.25">
      <c r="A21" s="893" t="s">
        <v>236</v>
      </c>
      <c r="B21" s="23"/>
      <c r="C21" s="660">
        <f>+'3'!C183</f>
        <v>2044</v>
      </c>
      <c r="D21" s="476">
        <f>+'3'!D183</f>
        <v>1820</v>
      </c>
      <c r="E21" s="660">
        <f t="shared" si="0"/>
        <v>-224</v>
      </c>
    </row>
    <row r="22" spans="1:5" x14ac:dyDescent="0.25">
      <c r="A22" s="40" t="s">
        <v>412</v>
      </c>
      <c r="B22" s="654"/>
      <c r="C22" s="661">
        <f>+'3'!C182+'3'!C185+'3'!C186</f>
        <v>3222</v>
      </c>
      <c r="D22" s="479">
        <f>+'3'!D182+'3'!D185+'3'!D186</f>
        <v>1494</v>
      </c>
      <c r="E22" s="661">
        <f t="shared" si="0"/>
        <v>-1728</v>
      </c>
    </row>
    <row r="23" spans="1:5" x14ac:dyDescent="0.25">
      <c r="A23" s="319"/>
      <c r="B23" s="23"/>
      <c r="C23" s="662">
        <f>SUM(C17:C22)</f>
        <v>72936</v>
      </c>
      <c r="D23" s="482">
        <f>SUM(D17:D22)</f>
        <v>76935</v>
      </c>
      <c r="E23" s="660">
        <f>SUM(E17:E22)</f>
        <v>3999</v>
      </c>
    </row>
    <row r="24" spans="1:5" x14ac:dyDescent="0.25">
      <c r="A24" s="24" t="s">
        <v>158</v>
      </c>
      <c r="B24" s="653"/>
      <c r="C24" s="660"/>
      <c r="D24" s="476"/>
      <c r="E24" s="660"/>
    </row>
    <row r="25" spans="1:5" x14ac:dyDescent="0.25">
      <c r="A25" s="40" t="s">
        <v>410</v>
      </c>
      <c r="B25" s="653"/>
      <c r="C25" s="660">
        <f>+'3'!C188</f>
        <v>-31185</v>
      </c>
      <c r="D25" s="476">
        <f>+'3'!D188</f>
        <v>-33841</v>
      </c>
      <c r="E25" s="660">
        <f>+D25-C25</f>
        <v>-2656</v>
      </c>
    </row>
    <row r="26" spans="1:5" x14ac:dyDescent="0.25">
      <c r="A26" s="40" t="s">
        <v>413</v>
      </c>
      <c r="B26" s="653"/>
      <c r="C26" s="661">
        <f>+'3'!C189+'3'!C191</f>
        <v>-29829</v>
      </c>
      <c r="D26" s="479">
        <f>+'3'!D189+'3'!D191</f>
        <v>-27635</v>
      </c>
      <c r="E26" s="661">
        <f>+D26-C26</f>
        <v>2194</v>
      </c>
    </row>
    <row r="27" spans="1:5" x14ac:dyDescent="0.25">
      <c r="A27" s="319"/>
      <c r="B27" s="23"/>
      <c r="C27" s="663">
        <f>SUM(C25:C26)</f>
        <v>-61014</v>
      </c>
      <c r="D27" s="664">
        <f>SUM(D25:D26)</f>
        <v>-61476</v>
      </c>
      <c r="E27" s="661">
        <f>SUM(E25:E26)</f>
        <v>-462</v>
      </c>
    </row>
    <row r="28" spans="1:5" ht="12.75" customHeight="1" x14ac:dyDescent="0.25">
      <c r="A28" s="1106" t="s">
        <v>790</v>
      </c>
      <c r="B28" s="1106"/>
      <c r="C28" s="662">
        <f>+C27+C23</f>
        <v>11922</v>
      </c>
      <c r="D28" s="482">
        <f>+D27+D23</f>
        <v>15459</v>
      </c>
      <c r="E28" s="660">
        <f>+E27+E23</f>
        <v>3537</v>
      </c>
    </row>
    <row r="29" spans="1:5" x14ac:dyDescent="0.25">
      <c r="A29" s="653"/>
      <c r="B29" s="23"/>
      <c r="C29" s="660"/>
      <c r="D29" s="476"/>
      <c r="E29" s="660"/>
    </row>
    <row r="30" spans="1:5" x14ac:dyDescent="0.25">
      <c r="A30" s="9" t="s">
        <v>160</v>
      </c>
      <c r="B30" s="667" t="s">
        <v>933</v>
      </c>
      <c r="C30" s="660"/>
      <c r="D30" s="476"/>
      <c r="E30" s="660"/>
    </row>
    <row r="31" spans="1:5" ht="13.5" customHeight="1" x14ac:dyDescent="0.25">
      <c r="A31" s="40" t="s">
        <v>775</v>
      </c>
      <c r="B31" s="23"/>
      <c r="C31" s="660">
        <f>+'3'!C195</f>
        <v>-21007</v>
      </c>
      <c r="D31" s="476">
        <f>+'3'!D195</f>
        <v>-29195</v>
      </c>
      <c r="E31" s="660">
        <f>+D31-C31</f>
        <v>-8188</v>
      </c>
    </row>
    <row r="32" spans="1:5" ht="26.4" x14ac:dyDescent="0.25">
      <c r="A32" s="40" t="s">
        <v>793</v>
      </c>
      <c r="B32" s="23"/>
      <c r="C32" s="660">
        <f>+'3'!C196</f>
        <v>1664</v>
      </c>
      <c r="D32" s="476">
        <f>+'3'!D196</f>
        <v>3741</v>
      </c>
      <c r="E32" s="660">
        <f>+D32-C32</f>
        <v>2077</v>
      </c>
    </row>
    <row r="33" spans="1:6" x14ac:dyDescent="0.25">
      <c r="A33" s="319" t="s">
        <v>770</v>
      </c>
      <c r="B33" s="23"/>
      <c r="C33" s="660">
        <f>+'3'!C197</f>
        <v>0</v>
      </c>
      <c r="D33" s="476">
        <f>+'3'!D197</f>
        <v>0</v>
      </c>
      <c r="E33" s="660">
        <f t="shared" ref="E33:E35" si="1">+D33-C33</f>
        <v>0</v>
      </c>
    </row>
    <row r="34" spans="1:6" x14ac:dyDescent="0.25">
      <c r="A34" s="319" t="s">
        <v>776</v>
      </c>
      <c r="B34" s="23"/>
      <c r="C34" s="660">
        <f>+'3'!C198</f>
        <v>0</v>
      </c>
      <c r="D34" s="476">
        <f>+'3'!D198</f>
        <v>0</v>
      </c>
      <c r="E34" s="660">
        <f t="shared" si="1"/>
        <v>0</v>
      </c>
    </row>
    <row r="35" spans="1:6" x14ac:dyDescent="0.25">
      <c r="A35" s="319" t="s">
        <v>777</v>
      </c>
      <c r="B35" s="23"/>
      <c r="C35" s="660">
        <f>+'3'!C199</f>
        <v>0</v>
      </c>
      <c r="D35" s="476">
        <f>+'3'!D199</f>
        <v>0</v>
      </c>
      <c r="E35" s="660">
        <f t="shared" si="1"/>
        <v>0</v>
      </c>
    </row>
    <row r="36" spans="1:6" x14ac:dyDescent="0.25">
      <c r="A36" s="40" t="s">
        <v>794</v>
      </c>
      <c r="B36" s="23"/>
      <c r="C36" s="661">
        <f>+'3'!C200</f>
        <v>10</v>
      </c>
      <c r="D36" s="479">
        <f>+'3'!D200</f>
        <v>199</v>
      </c>
      <c r="E36" s="661">
        <f>+D36-C36</f>
        <v>189</v>
      </c>
    </row>
    <row r="37" spans="1:6" ht="12.75" customHeight="1" x14ac:dyDescent="0.25">
      <c r="A37" s="1106" t="s">
        <v>795</v>
      </c>
      <c r="B37" s="1106"/>
      <c r="C37" s="662">
        <f>SUM(C31:C36)</f>
        <v>-19333</v>
      </c>
      <c r="D37" s="482">
        <f>SUM(D31:D36)</f>
        <v>-25255</v>
      </c>
      <c r="E37" s="660">
        <f>SUM(E31:E36)</f>
        <v>-5922</v>
      </c>
    </row>
    <row r="38" spans="1:6" x14ac:dyDescent="0.25">
      <c r="A38" s="653"/>
      <c r="B38" s="23"/>
      <c r="C38" s="660"/>
      <c r="D38" s="476"/>
      <c r="E38" s="660"/>
    </row>
    <row r="39" spans="1:6" x14ac:dyDescent="0.25">
      <c r="A39" s="9" t="s">
        <v>161</v>
      </c>
      <c r="B39" s="667" t="s">
        <v>934</v>
      </c>
      <c r="C39" s="660"/>
      <c r="D39" s="476"/>
      <c r="E39" s="660" t="s">
        <v>162</v>
      </c>
    </row>
    <row r="40" spans="1:6" x14ac:dyDescent="0.25">
      <c r="A40" s="319" t="s">
        <v>180</v>
      </c>
      <c r="B40" s="39"/>
      <c r="C40" s="660">
        <f>+'3'!C204</f>
        <v>-380</v>
      </c>
      <c r="D40" s="476">
        <f>+'3'!D204</f>
        <v>-312</v>
      </c>
      <c r="E40" s="660">
        <f>+D40-C40</f>
        <v>68</v>
      </c>
    </row>
    <row r="41" spans="1:6" x14ac:dyDescent="0.25">
      <c r="A41" s="319" t="s">
        <v>163</v>
      </c>
      <c r="B41" s="23"/>
      <c r="C41" s="660">
        <f>+'3'!C205</f>
        <v>0</v>
      </c>
      <c r="D41" s="476">
        <f>+'3'!D205</f>
        <v>0</v>
      </c>
      <c r="E41" s="660">
        <f>+D41-C41</f>
        <v>0</v>
      </c>
    </row>
    <row r="42" spans="1:6" x14ac:dyDescent="0.25">
      <c r="A42" s="319" t="s">
        <v>164</v>
      </c>
      <c r="B42" s="23"/>
      <c r="C42" s="661">
        <f>+'3'!C206</f>
        <v>-1161</v>
      </c>
      <c r="D42" s="479">
        <f>+'3'!D206</f>
        <v>-1161</v>
      </c>
      <c r="E42" s="661">
        <f>+D42-C42</f>
        <v>0</v>
      </c>
    </row>
    <row r="43" spans="1:6" ht="12.75" customHeight="1" x14ac:dyDescent="0.25">
      <c r="A43" s="1106" t="s">
        <v>791</v>
      </c>
      <c r="B43" s="1106"/>
      <c r="C43" s="663">
        <f>SUM(C40:C42)</f>
        <v>-1541</v>
      </c>
      <c r="D43" s="664">
        <f>SUM(D40:D42)</f>
        <v>-1473</v>
      </c>
      <c r="E43" s="661">
        <f>SUM(E40:E42)</f>
        <v>68</v>
      </c>
    </row>
    <row r="44" spans="1:6" ht="12.75" customHeight="1" x14ac:dyDescent="0.25">
      <c r="A44" s="1106" t="s">
        <v>165</v>
      </c>
      <c r="B44" s="1106"/>
      <c r="C44" s="662">
        <f>+C43+C37+C28</f>
        <v>-8952</v>
      </c>
      <c r="D44" s="482">
        <f>+D43+D37+D28</f>
        <v>-11269</v>
      </c>
      <c r="E44" s="660">
        <f>+D44-C44</f>
        <v>-2317</v>
      </c>
    </row>
    <row r="45" spans="1:6" ht="12.75" customHeight="1" x14ac:dyDescent="0.25">
      <c r="A45" s="1105" t="s">
        <v>792</v>
      </c>
      <c r="B45" s="1105"/>
      <c r="C45" s="661">
        <f>+'3'!C209</f>
        <v>32428</v>
      </c>
      <c r="D45" s="479">
        <f>+'3'!D209</f>
        <v>23476</v>
      </c>
      <c r="E45" s="661">
        <f>+D45-C45</f>
        <v>-8952</v>
      </c>
    </row>
    <row r="46" spans="1:6" x14ac:dyDescent="0.25">
      <c r="A46" s="25" t="s">
        <v>166</v>
      </c>
      <c r="B46" s="668" t="s">
        <v>935</v>
      </c>
      <c r="C46" s="665">
        <f>+C45+C44</f>
        <v>23476</v>
      </c>
      <c r="D46" s="487">
        <f>+D45+D44</f>
        <v>12207</v>
      </c>
      <c r="E46" s="666">
        <f>+E45+E44</f>
        <v>-11269</v>
      </c>
    </row>
    <row r="47" spans="1:6" x14ac:dyDescent="0.25">
      <c r="A47" s="555"/>
      <c r="B47" s="600"/>
      <c r="C47" s="600"/>
      <c r="D47" s="600"/>
      <c r="E47" s="600"/>
    </row>
    <row r="48" spans="1:6" x14ac:dyDescent="0.25">
      <c r="A48" s="1088" t="s">
        <v>936</v>
      </c>
      <c r="B48" s="1088"/>
      <c r="C48" s="1088"/>
      <c r="D48" s="1088"/>
      <c r="E48" s="1088"/>
      <c r="F48" s="669">
        <f>E28</f>
        <v>3537</v>
      </c>
    </row>
    <row r="49" spans="1:9" ht="25.5" customHeight="1" x14ac:dyDescent="0.25">
      <c r="A49" s="966" t="s">
        <v>1382</v>
      </c>
      <c r="B49" s="966"/>
      <c r="C49" s="966"/>
      <c r="D49" s="966"/>
      <c r="E49" s="966"/>
    </row>
    <row r="50" spans="1:9" x14ac:dyDescent="0.25">
      <c r="A50" s="555"/>
      <c r="B50" s="32"/>
      <c r="C50" s="32"/>
      <c r="D50" s="32"/>
      <c r="E50" s="32"/>
    </row>
    <row r="51" spans="1:9" ht="52.95" customHeight="1" x14ac:dyDescent="0.25">
      <c r="A51" s="966" t="s">
        <v>393</v>
      </c>
      <c r="B51" s="966"/>
      <c r="C51" s="966"/>
      <c r="D51" s="966"/>
      <c r="E51" s="966"/>
    </row>
    <row r="52" spans="1:9" x14ac:dyDescent="0.25">
      <c r="A52" s="1103"/>
      <c r="B52" s="1103"/>
      <c r="C52" s="380" t="s">
        <v>331</v>
      </c>
      <c r="D52" s="380"/>
      <c r="E52" s="380"/>
    </row>
    <row r="53" spans="1:9" x14ac:dyDescent="0.25">
      <c r="A53" s="1103"/>
      <c r="B53" s="1103"/>
      <c r="C53" s="380" t="s">
        <v>332</v>
      </c>
      <c r="D53" s="380" t="s">
        <v>313</v>
      </c>
      <c r="E53" s="380" t="s">
        <v>314</v>
      </c>
    </row>
    <row r="54" spans="1:9" x14ac:dyDescent="0.25">
      <c r="A54" s="1103"/>
      <c r="B54" s="1103"/>
      <c r="C54" s="380" t="s">
        <v>1114</v>
      </c>
      <c r="D54" s="380" t="s">
        <v>1098</v>
      </c>
      <c r="E54" s="380"/>
    </row>
    <row r="55" spans="1:9" x14ac:dyDescent="0.25">
      <c r="A55" s="1103"/>
      <c r="B55" s="1103"/>
      <c r="C55" s="380" t="s">
        <v>298</v>
      </c>
      <c r="D55" s="380" t="s">
        <v>298</v>
      </c>
      <c r="E55" s="380" t="s">
        <v>298</v>
      </c>
    </row>
    <row r="56" spans="1:9" x14ac:dyDescent="0.25">
      <c r="A56" s="317" t="s">
        <v>172</v>
      </c>
      <c r="B56" s="600"/>
      <c r="C56" s="158">
        <f>+'3'!C64</f>
        <v>-1922</v>
      </c>
      <c r="D56" s="659">
        <f>+'3'!D64</f>
        <v>1045</v>
      </c>
      <c r="E56" s="593">
        <f>+D56-C56</f>
        <v>2967</v>
      </c>
    </row>
    <row r="57" spans="1:9" x14ac:dyDescent="0.25">
      <c r="A57" s="318" t="s">
        <v>173</v>
      </c>
      <c r="B57" s="600"/>
      <c r="C57" s="593">
        <f>+'3'!C59</f>
        <v>14034</v>
      </c>
      <c r="D57" s="609">
        <f>+'3'!D59</f>
        <v>14500</v>
      </c>
      <c r="E57" s="593">
        <f>+D57-C57</f>
        <v>466</v>
      </c>
    </row>
    <row r="58" spans="1:9" ht="26.4" customHeight="1" x14ac:dyDescent="0.25">
      <c r="A58" s="318" t="s">
        <v>778</v>
      </c>
      <c r="B58" s="600"/>
      <c r="C58" s="593">
        <f>-'3'!C49</f>
        <v>-823</v>
      </c>
      <c r="D58" s="609">
        <f>-'3'!D49</f>
        <v>-539</v>
      </c>
      <c r="E58" s="593">
        <f>+D58-C58</f>
        <v>284</v>
      </c>
    </row>
    <row r="59" spans="1:9" x14ac:dyDescent="0.25">
      <c r="A59" s="318" t="s">
        <v>180</v>
      </c>
      <c r="B59" s="600"/>
      <c r="C59" s="593">
        <f>+'3'!C60</f>
        <v>380</v>
      </c>
      <c r="D59" s="609">
        <f>+'3'!D60</f>
        <v>312</v>
      </c>
      <c r="E59" s="593">
        <f>+D59-C59</f>
        <v>-68</v>
      </c>
    </row>
    <row r="60" spans="1:9" x14ac:dyDescent="0.25">
      <c r="A60" s="319" t="s">
        <v>174</v>
      </c>
      <c r="B60" s="600"/>
      <c r="C60" s="594">
        <v>-829</v>
      </c>
      <c r="D60" s="603">
        <f>-'3'!C84-'3'!C88+'3'!D84+'3'!D88-'3'!C106+'3'!D106</f>
        <v>-941</v>
      </c>
      <c r="E60" s="594">
        <f>+D60-C60</f>
        <v>-112</v>
      </c>
    </row>
    <row r="61" spans="1:9" ht="12.75" customHeight="1" x14ac:dyDescent="0.25">
      <c r="A61" s="1108" t="s">
        <v>175</v>
      </c>
      <c r="B61" s="1108"/>
      <c r="C61" s="159">
        <f>SUM(C56:C60)</f>
        <v>10840</v>
      </c>
      <c r="D61" s="605">
        <f>SUM(D56:D60)</f>
        <v>14377</v>
      </c>
      <c r="E61" s="594">
        <f>SUM(E56:E60)</f>
        <v>3537</v>
      </c>
      <c r="H61" s="670"/>
      <c r="I61" s="669">
        <f>E28-E61</f>
        <v>0</v>
      </c>
    </row>
    <row r="62" spans="1:9" x14ac:dyDescent="0.25">
      <c r="A62" s="22"/>
      <c r="B62" s="22"/>
      <c r="C62" s="14"/>
      <c r="D62" s="33"/>
      <c r="E62" s="655"/>
    </row>
    <row r="63" spans="1:9" s="63" customFormat="1" x14ac:dyDescent="0.25">
      <c r="A63" s="952" t="s">
        <v>1383</v>
      </c>
      <c r="B63" s="952"/>
      <c r="C63" s="952"/>
      <c r="D63" s="952"/>
      <c r="E63" s="952"/>
      <c r="F63" s="872">
        <f>E37</f>
        <v>-5922</v>
      </c>
    </row>
    <row r="64" spans="1:9" s="63" customFormat="1" ht="39.6" customHeight="1" x14ac:dyDescent="0.25">
      <c r="A64" s="944" t="s">
        <v>1384</v>
      </c>
      <c r="B64" s="944"/>
      <c r="C64" s="944"/>
      <c r="D64" s="944"/>
      <c r="E64" s="944"/>
    </row>
    <row r="65" spans="1:6" s="63" customFormat="1" x14ac:dyDescent="0.25">
      <c r="A65" s="341"/>
      <c r="B65" s="83"/>
      <c r="C65" s="83"/>
      <c r="D65" s="83"/>
      <c r="E65" s="83"/>
    </row>
    <row r="66" spans="1:6" s="63" customFormat="1" x14ac:dyDescent="0.25">
      <c r="A66" s="952" t="s">
        <v>937</v>
      </c>
      <c r="B66" s="952"/>
      <c r="C66" s="952"/>
      <c r="D66" s="952"/>
      <c r="E66" s="952"/>
      <c r="F66" s="872">
        <f>E43</f>
        <v>68</v>
      </c>
    </row>
    <row r="67" spans="1:6" s="63" customFormat="1" x14ac:dyDescent="0.25">
      <c r="A67" s="944" t="s">
        <v>1158</v>
      </c>
      <c r="B67" s="944"/>
      <c r="C67" s="944"/>
      <c r="D67" s="944"/>
      <c r="E67" s="944"/>
    </row>
    <row r="68" spans="1:6" s="63" customFormat="1" x14ac:dyDescent="0.25">
      <c r="A68" s="341"/>
      <c r="B68" s="83"/>
      <c r="C68" s="83"/>
      <c r="D68" s="83"/>
      <c r="E68" s="83"/>
    </row>
    <row r="69" spans="1:6" s="63" customFormat="1" x14ac:dyDescent="0.25">
      <c r="A69" s="952" t="s">
        <v>938</v>
      </c>
      <c r="B69" s="952"/>
      <c r="C69" s="952"/>
      <c r="D69" s="952"/>
      <c r="E69" s="952"/>
      <c r="F69" s="872">
        <f>E46</f>
        <v>-11269</v>
      </c>
    </row>
    <row r="70" spans="1:6" s="63" customFormat="1" ht="66" customHeight="1" x14ac:dyDescent="0.25">
      <c r="A70" s="944" t="s">
        <v>1159</v>
      </c>
      <c r="B70" s="944"/>
      <c r="C70" s="944"/>
      <c r="D70" s="944"/>
      <c r="E70" s="944"/>
    </row>
    <row r="71" spans="1:6" s="63" customFormat="1" x14ac:dyDescent="0.25">
      <c r="A71" s="341"/>
      <c r="B71" s="83"/>
      <c r="C71" s="83"/>
      <c r="D71" s="83"/>
      <c r="E71" s="83"/>
    </row>
    <row r="72" spans="1:6" s="63" customFormat="1" x14ac:dyDescent="0.25">
      <c r="A72" s="311" t="s">
        <v>939</v>
      </c>
      <c r="B72" s="83"/>
      <c r="C72" s="83"/>
      <c r="D72" s="83"/>
      <c r="E72" s="83"/>
    </row>
    <row r="73" spans="1:6" s="63" customFormat="1" ht="39.6" customHeight="1" x14ac:dyDescent="0.25">
      <c r="A73" s="944" t="s">
        <v>1160</v>
      </c>
      <c r="B73" s="944"/>
      <c r="C73" s="944"/>
      <c r="D73" s="944"/>
      <c r="E73" s="944"/>
    </row>
    <row r="74" spans="1:6" x14ac:dyDescent="0.25">
      <c r="A74" s="1103"/>
      <c r="B74" s="674"/>
      <c r="C74" s="380" t="s">
        <v>331</v>
      </c>
      <c r="D74" s="380"/>
      <c r="E74" s="380"/>
    </row>
    <row r="75" spans="1:6" x14ac:dyDescent="0.25">
      <c r="A75" s="1103"/>
      <c r="B75" s="674"/>
      <c r="C75" s="380" t="s">
        <v>332</v>
      </c>
      <c r="D75" s="380" t="s">
        <v>313</v>
      </c>
      <c r="E75" s="380" t="s">
        <v>314</v>
      </c>
    </row>
    <row r="76" spans="1:6" x14ac:dyDescent="0.25">
      <c r="A76" s="1103"/>
      <c r="B76" s="658" t="s">
        <v>72</v>
      </c>
      <c r="C76" s="380">
        <v>2017</v>
      </c>
      <c r="D76" s="380">
        <v>2018</v>
      </c>
      <c r="E76" s="380"/>
    </row>
    <row r="77" spans="1:6" x14ac:dyDescent="0.25">
      <c r="A77" s="1103"/>
      <c r="B77" s="674"/>
      <c r="C77" s="380" t="s">
        <v>298</v>
      </c>
      <c r="D77" s="380" t="s">
        <v>298</v>
      </c>
      <c r="E77" s="380" t="s">
        <v>298</v>
      </c>
    </row>
    <row r="78" spans="1:6" x14ac:dyDescent="0.25">
      <c r="A78" s="9" t="s">
        <v>171</v>
      </c>
      <c r="B78" s="653"/>
      <c r="C78" s="662">
        <f>+'3'!C83</f>
        <v>23476</v>
      </c>
      <c r="D78" s="482">
        <f>+'3'!D83</f>
        <v>12207</v>
      </c>
      <c r="E78" s="660">
        <f>+D78-C78</f>
        <v>-11269</v>
      </c>
    </row>
    <row r="79" spans="1:6" x14ac:dyDescent="0.25">
      <c r="A79" s="319" t="s">
        <v>168</v>
      </c>
      <c r="B79" s="39"/>
      <c r="C79" s="660"/>
      <c r="D79" s="476"/>
      <c r="E79" s="660"/>
    </row>
    <row r="80" spans="1:6" x14ac:dyDescent="0.25">
      <c r="A80" s="319" t="s">
        <v>169</v>
      </c>
      <c r="B80" s="606" t="s">
        <v>940</v>
      </c>
      <c r="C80" s="660">
        <v>-936</v>
      </c>
      <c r="D80" s="476">
        <v>-894</v>
      </c>
      <c r="E80" s="660">
        <f>+D80-C80</f>
        <v>42</v>
      </c>
    </row>
    <row r="81" spans="1:5" x14ac:dyDescent="0.25">
      <c r="A81" s="115" t="s">
        <v>1385</v>
      </c>
      <c r="B81" s="606" t="s">
        <v>941</v>
      </c>
      <c r="C81" s="675">
        <v>-6569</v>
      </c>
      <c r="D81" s="485">
        <v>0</v>
      </c>
      <c r="E81" s="675">
        <f>+D81-C81</f>
        <v>6569</v>
      </c>
    </row>
    <row r="82" spans="1:5" x14ac:dyDescent="0.25">
      <c r="A82" s="196" t="s">
        <v>732</v>
      </c>
      <c r="B82" s="606"/>
      <c r="C82" s="661">
        <v>0</v>
      </c>
      <c r="D82" s="479">
        <v>0</v>
      </c>
      <c r="E82" s="661">
        <v>0</v>
      </c>
    </row>
    <row r="83" spans="1:5" x14ac:dyDescent="0.25">
      <c r="A83" s="176" t="s">
        <v>37</v>
      </c>
      <c r="B83" s="606" t="s">
        <v>942</v>
      </c>
      <c r="C83" s="662">
        <f>SUM(C78:C82)</f>
        <v>15971</v>
      </c>
      <c r="D83" s="482">
        <f>SUM(D78:D82)</f>
        <v>11313</v>
      </c>
      <c r="E83" s="662">
        <f>SUM(E78:E81)</f>
        <v>-4658</v>
      </c>
    </row>
    <row r="84" spans="1:5" x14ac:dyDescent="0.25">
      <c r="A84" s="319" t="s">
        <v>170</v>
      </c>
      <c r="B84" s="606" t="s">
        <v>943</v>
      </c>
      <c r="C84" s="661">
        <v>-8461</v>
      </c>
      <c r="D84" s="479">
        <v>-3908</v>
      </c>
      <c r="E84" s="661">
        <f>+D84-C84</f>
        <v>4553</v>
      </c>
    </row>
    <row r="85" spans="1:5" ht="26.4" x14ac:dyDescent="0.25">
      <c r="A85" s="34" t="s">
        <v>673</v>
      </c>
      <c r="B85" s="657" t="s">
        <v>944</v>
      </c>
      <c r="C85" s="663">
        <f>SUM(C83:C84)</f>
        <v>7510</v>
      </c>
      <c r="D85" s="664">
        <f>SUM(D83:D84)</f>
        <v>7405</v>
      </c>
      <c r="E85" s="663">
        <f>SUM(E83:E84)</f>
        <v>-105</v>
      </c>
    </row>
    <row r="86" spans="1:5" x14ac:dyDescent="0.25">
      <c r="A86" s="555"/>
      <c r="B86" s="600"/>
      <c r="C86" s="600"/>
      <c r="D86" s="600"/>
      <c r="E86" s="600"/>
    </row>
    <row r="87" spans="1:5" x14ac:dyDescent="0.25">
      <c r="A87" s="308" t="s">
        <v>945</v>
      </c>
      <c r="B87" s="83"/>
      <c r="C87" s="83"/>
      <c r="D87" s="83"/>
      <c r="E87" s="83"/>
    </row>
    <row r="88" spans="1:5" ht="39.6" customHeight="1" x14ac:dyDescent="0.25">
      <c r="A88" s="944" t="s">
        <v>674</v>
      </c>
      <c r="B88" s="944"/>
      <c r="C88" s="944"/>
      <c r="D88" s="944"/>
      <c r="E88" s="944"/>
    </row>
    <row r="89" spans="1:5" x14ac:dyDescent="0.25">
      <c r="A89" s="341"/>
      <c r="B89" s="83"/>
      <c r="C89" s="83"/>
      <c r="D89" s="83"/>
      <c r="E89" s="83"/>
    </row>
    <row r="90" spans="1:5" x14ac:dyDescent="0.25">
      <c r="A90" s="952" t="s">
        <v>946</v>
      </c>
      <c r="B90" s="941"/>
      <c r="C90" s="941"/>
      <c r="D90" s="941"/>
      <c r="E90" s="941"/>
    </row>
    <row r="91" spans="1:5" s="589" customFormat="1" ht="52.95" customHeight="1" x14ac:dyDescent="0.25">
      <c r="A91" s="939" t="s">
        <v>1161</v>
      </c>
      <c r="B91" s="1046"/>
      <c r="C91" s="1046"/>
      <c r="D91" s="1046"/>
      <c r="E91" s="1046"/>
    </row>
    <row r="92" spans="1:5" x14ac:dyDescent="0.25">
      <c r="A92" s="306"/>
      <c r="B92" s="310"/>
      <c r="C92" s="310"/>
      <c r="D92" s="310"/>
      <c r="E92" s="310"/>
    </row>
    <row r="93" spans="1:5" x14ac:dyDescent="0.25">
      <c r="A93" s="952" t="s">
        <v>947</v>
      </c>
      <c r="B93" s="952"/>
      <c r="C93" s="952"/>
      <c r="D93" s="952"/>
      <c r="E93" s="952"/>
    </row>
    <row r="94" spans="1:5" ht="39.6" customHeight="1" x14ac:dyDescent="0.25">
      <c r="A94" s="944" t="s">
        <v>675</v>
      </c>
      <c r="B94" s="944"/>
      <c r="C94" s="944"/>
      <c r="D94" s="944"/>
      <c r="E94" s="944"/>
    </row>
    <row r="95" spans="1:5" x14ac:dyDescent="0.25">
      <c r="A95" s="306"/>
      <c r="B95" s="310"/>
      <c r="C95" s="310"/>
      <c r="D95" s="310"/>
      <c r="E95" s="310"/>
    </row>
    <row r="96" spans="1:5" x14ac:dyDescent="0.25">
      <c r="A96" s="308" t="s">
        <v>948</v>
      </c>
      <c r="B96" s="83"/>
      <c r="C96" s="83"/>
      <c r="D96" s="83"/>
      <c r="E96" s="83"/>
    </row>
    <row r="97" spans="1:5" ht="79.2" customHeight="1" x14ac:dyDescent="0.25">
      <c r="A97" s="944" t="s">
        <v>1162</v>
      </c>
      <c r="B97" s="944"/>
      <c r="C97" s="944"/>
      <c r="D97" s="944"/>
      <c r="E97" s="944"/>
    </row>
    <row r="98" spans="1:5" x14ac:dyDescent="0.25">
      <c r="A98" s="304"/>
      <c r="B98" s="304"/>
      <c r="C98" s="304"/>
      <c r="D98" s="304"/>
      <c r="E98" s="304"/>
    </row>
    <row r="99" spans="1:5" x14ac:dyDescent="0.25">
      <c r="A99" s="952" t="s">
        <v>949</v>
      </c>
      <c r="B99" s="1065"/>
      <c r="C99" s="1065"/>
      <c r="D99" s="1065"/>
      <c r="E99" s="1065"/>
    </row>
    <row r="100" spans="1:5" ht="52.95" customHeight="1" x14ac:dyDescent="0.25">
      <c r="A100" s="944" t="s">
        <v>543</v>
      </c>
      <c r="B100" s="944"/>
      <c r="C100" s="944"/>
      <c r="D100" s="944"/>
      <c r="E100" s="944"/>
    </row>
    <row r="101" spans="1:5" x14ac:dyDescent="0.25">
      <c r="A101" s="555"/>
      <c r="B101" s="600"/>
      <c r="C101" s="600"/>
      <c r="D101" s="600"/>
      <c r="E101" s="600"/>
    </row>
    <row r="102" spans="1:5" x14ac:dyDescent="0.25">
      <c r="A102" s="671"/>
      <c r="B102" s="672"/>
      <c r="C102" s="672"/>
      <c r="D102" s="672"/>
    </row>
    <row r="103" spans="1:5" x14ac:dyDescent="0.25">
      <c r="A103" s="20"/>
    </row>
    <row r="104" spans="1:5" x14ac:dyDescent="0.25">
      <c r="B104" s="656"/>
      <c r="C104" s="18"/>
      <c r="D104" s="656"/>
    </row>
    <row r="105" spans="1:5" x14ac:dyDescent="0.25">
      <c r="A105" s="315"/>
      <c r="B105" s="655"/>
      <c r="C105" s="19"/>
      <c r="D105" s="656"/>
    </row>
    <row r="106" spans="1:5" x14ac:dyDescent="0.25">
      <c r="A106" s="315"/>
      <c r="B106" s="655"/>
      <c r="C106" s="19"/>
      <c r="D106" s="656"/>
    </row>
    <row r="107" spans="1:5" x14ac:dyDescent="0.25">
      <c r="A107" s="20"/>
    </row>
    <row r="108" spans="1:5" x14ac:dyDescent="0.25">
      <c r="A108" s="315"/>
      <c r="B108" s="656"/>
      <c r="C108" s="18"/>
      <c r="D108" s="656"/>
    </row>
    <row r="109" spans="1:5" x14ac:dyDescent="0.25">
      <c r="A109" s="20"/>
    </row>
    <row r="110" spans="1:5" x14ac:dyDescent="0.25">
      <c r="A110" s="315"/>
      <c r="B110" s="656"/>
      <c r="C110" s="18"/>
      <c r="D110" s="656"/>
    </row>
    <row r="111" spans="1:5" x14ac:dyDescent="0.25">
      <c r="A111" s="315"/>
      <c r="B111" s="656"/>
      <c r="C111" s="19"/>
      <c r="D111" s="656"/>
    </row>
    <row r="112" spans="1:5" x14ac:dyDescent="0.25">
      <c r="A112" s="20"/>
    </row>
    <row r="113" spans="1:5" x14ac:dyDescent="0.25">
      <c r="A113" s="315"/>
      <c r="B113" s="656"/>
      <c r="C113" s="18"/>
      <c r="D113" s="656"/>
    </row>
    <row r="114" spans="1:5" x14ac:dyDescent="0.25">
      <c r="A114" s="1102"/>
      <c r="B114" s="1101"/>
      <c r="C114" s="1101"/>
      <c r="D114" s="1101"/>
      <c r="E114" s="1101"/>
    </row>
    <row r="115" spans="1:5" x14ac:dyDescent="0.25">
      <c r="A115" s="1101"/>
      <c r="B115" s="1101"/>
      <c r="C115" s="1101"/>
      <c r="D115" s="1101"/>
      <c r="E115" s="1101"/>
    </row>
    <row r="116" spans="1:5" x14ac:dyDescent="0.25">
      <c r="A116" s="1101"/>
      <c r="B116" s="1101"/>
      <c r="C116" s="1101"/>
      <c r="D116" s="1101"/>
      <c r="E116" s="1101"/>
    </row>
    <row r="117" spans="1:5" x14ac:dyDescent="0.25">
      <c r="A117" s="599"/>
    </row>
    <row r="118" spans="1:5" x14ac:dyDescent="0.25">
      <c r="A118" s="1101"/>
      <c r="B118" s="1101"/>
      <c r="C118" s="1101"/>
      <c r="D118" s="1101"/>
      <c r="E118" s="1101"/>
    </row>
    <row r="119" spans="1:5" x14ac:dyDescent="0.25">
      <c r="A119" s="599"/>
    </row>
    <row r="120" spans="1:5" x14ac:dyDescent="0.25">
      <c r="A120" s="1101"/>
      <c r="B120" s="1101"/>
      <c r="C120" s="1101"/>
      <c r="D120" s="1101"/>
      <c r="E120" s="1101"/>
    </row>
    <row r="121" spans="1:5" x14ac:dyDescent="0.25">
      <c r="A121" s="599"/>
    </row>
    <row r="122" spans="1:5" x14ac:dyDescent="0.25">
      <c r="A122" s="1101"/>
      <c r="B122" s="1101"/>
      <c r="C122" s="1101"/>
      <c r="D122" s="1101"/>
      <c r="E122" s="1101"/>
    </row>
    <row r="123" spans="1:5" x14ac:dyDescent="0.25">
      <c r="A123" s="599"/>
    </row>
    <row r="124" spans="1:5" x14ac:dyDescent="0.25">
      <c r="A124" s="1102"/>
      <c r="B124" s="1101"/>
      <c r="C124" s="1101"/>
      <c r="D124" s="1101"/>
      <c r="E124" s="1101"/>
    </row>
    <row r="125" spans="1:5" x14ac:dyDescent="0.25">
      <c r="A125" s="1101"/>
      <c r="B125" s="1101"/>
      <c r="C125" s="1101"/>
      <c r="D125" s="1101"/>
      <c r="E125" s="1101"/>
    </row>
    <row r="126" spans="1:5" x14ac:dyDescent="0.25">
      <c r="A126" s="599"/>
    </row>
    <row r="127" spans="1:5" x14ac:dyDescent="0.25">
      <c r="A127" s="1102"/>
      <c r="B127" s="1101"/>
      <c r="C127" s="1101"/>
      <c r="D127" s="1101"/>
      <c r="E127" s="1101"/>
    </row>
    <row r="128" spans="1:5" x14ac:dyDescent="0.25">
      <c r="A128" s="1101"/>
      <c r="B128" s="1101"/>
      <c r="C128" s="1101"/>
      <c r="D128" s="1101"/>
      <c r="E128" s="1101"/>
    </row>
    <row r="129" spans="1:5" x14ac:dyDescent="0.25">
      <c r="A129" s="599"/>
    </row>
    <row r="130" spans="1:5" x14ac:dyDescent="0.25">
      <c r="A130" s="1102"/>
      <c r="B130" s="1101"/>
      <c r="C130" s="1101"/>
      <c r="D130" s="1101"/>
      <c r="E130" s="1101"/>
    </row>
    <row r="131" spans="1:5" x14ac:dyDescent="0.25">
      <c r="A131" s="1101"/>
      <c r="B131" s="1101"/>
      <c r="C131" s="1101"/>
      <c r="D131" s="1101"/>
      <c r="E131" s="1101"/>
    </row>
    <row r="132" spans="1:5" x14ac:dyDescent="0.25">
      <c r="A132" s="599"/>
    </row>
    <row r="133" spans="1:5" x14ac:dyDescent="0.25">
      <c r="A133" s="1102"/>
      <c r="B133" s="1101"/>
      <c r="C133" s="1101"/>
      <c r="D133" s="1101"/>
      <c r="E133" s="1101"/>
    </row>
    <row r="134" spans="1:5" x14ac:dyDescent="0.25">
      <c r="A134" s="1101"/>
      <c r="B134" s="1101"/>
      <c r="C134" s="1101"/>
      <c r="D134" s="1101"/>
      <c r="E134" s="1101"/>
    </row>
  </sheetData>
  <mergeCells count="47">
    <mergeCell ref="A67:E67"/>
    <mergeCell ref="A51:E51"/>
    <mergeCell ref="A52:A55"/>
    <mergeCell ref="B52:B55"/>
    <mergeCell ref="A3:E3"/>
    <mergeCell ref="A44:B44"/>
    <mergeCell ref="A5:E5"/>
    <mergeCell ref="A6:E6"/>
    <mergeCell ref="A7:E7"/>
    <mergeCell ref="A8:E8"/>
    <mergeCell ref="A48:E48"/>
    <mergeCell ref="A118:E118"/>
    <mergeCell ref="A1:E1"/>
    <mergeCell ref="A45:B45"/>
    <mergeCell ref="A28:B28"/>
    <mergeCell ref="A37:B37"/>
    <mergeCell ref="A43:B43"/>
    <mergeCell ref="A11:A14"/>
    <mergeCell ref="A49:E49"/>
    <mergeCell ref="A69:E69"/>
    <mergeCell ref="A70:E70"/>
    <mergeCell ref="A73:E73"/>
    <mergeCell ref="A88:E88"/>
    <mergeCell ref="A61:B61"/>
    <mergeCell ref="A63:E63"/>
    <mergeCell ref="A64:E64"/>
    <mergeCell ref="A66:E66"/>
    <mergeCell ref="A116:E116"/>
    <mergeCell ref="A97:E97"/>
    <mergeCell ref="A74:A77"/>
    <mergeCell ref="A94:E94"/>
    <mergeCell ref="A93:E93"/>
    <mergeCell ref="A114:E115"/>
    <mergeCell ref="A91:E91"/>
    <mergeCell ref="A90:E90"/>
    <mergeCell ref="A100:E100"/>
    <mergeCell ref="A99:E99"/>
    <mergeCell ref="A120:E120"/>
    <mergeCell ref="A122:E122"/>
    <mergeCell ref="A124:E124"/>
    <mergeCell ref="A125:E125"/>
    <mergeCell ref="A127:E127"/>
    <mergeCell ref="A134:E134"/>
    <mergeCell ref="A128:E128"/>
    <mergeCell ref="A130:E130"/>
    <mergeCell ref="A131:E131"/>
    <mergeCell ref="A133:E133"/>
  </mergeCells>
  <phoneticPr fontId="11" type="noConversion"/>
  <pageMargins left="0.74803149606299213" right="0.74803149606299213" top="0.98425196850393704" bottom="0.98425196850393704" header="0.51181102362204722" footer="0.51181102362204722"/>
  <pageSetup paperSize="9" firstPageNumber="61" orientation="portrait" useFirstPageNumber="1" r:id="rId1"/>
  <headerFooter alignWithMargins="0">
    <oddFooter>&amp;L&amp;8Chartered Accountants Australia New Zealand&amp;C&amp;9&amp;P&amp;R&amp;8VICTORIAN CITY COUNCIL</oddFooter>
  </headerFooter>
  <rowBreaks count="1" manualBreakCount="1">
    <brk id="86" max="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8"/>
  <sheetViews>
    <sheetView showGridLines="0" view="pageBreakPreview" topLeftCell="A151" zoomScaleNormal="100" zoomScaleSheetLayoutView="100" zoomScalePageLayoutView="70" workbookViewId="0">
      <selection activeCell="A40" sqref="A40"/>
    </sheetView>
  </sheetViews>
  <sheetFormatPr defaultColWidth="9.109375" defaultRowHeight="13.2" x14ac:dyDescent="0.25"/>
  <cols>
    <col min="1" max="1" width="32" style="314" customWidth="1"/>
    <col min="2" max="2" width="9.109375" style="340" customWidth="1"/>
    <col min="3" max="5" width="12" style="340" customWidth="1"/>
    <col min="6" max="6" width="11" style="340" customWidth="1"/>
    <col min="7" max="7" width="10.5546875" style="63" customWidth="1"/>
    <col min="8" max="8" width="12.33203125" style="63" customWidth="1"/>
    <col min="9" max="9" width="25.5546875" style="63" customWidth="1"/>
    <col min="10" max="11" width="9.109375" style="63" customWidth="1"/>
    <col min="12" max="12" width="43.88671875" style="63" customWidth="1"/>
    <col min="13" max="16384" width="9.109375" style="63"/>
  </cols>
  <sheetData>
    <row r="1" spans="1:6" ht="16.8" x14ac:dyDescent="0.25">
      <c r="A1" s="1113" t="s">
        <v>950</v>
      </c>
      <c r="B1" s="1113"/>
      <c r="C1" s="1113"/>
      <c r="D1" s="1113"/>
      <c r="E1" s="1113"/>
      <c r="F1" s="1113"/>
    </row>
    <row r="2" spans="1:6" x14ac:dyDescent="0.25">
      <c r="A2" s="83"/>
      <c r="B2" s="83"/>
      <c r="C2" s="83"/>
      <c r="D2" s="83"/>
      <c r="E2" s="83"/>
    </row>
    <row r="3" spans="1:6" ht="25.5" customHeight="1" x14ac:dyDescent="0.25">
      <c r="A3" s="944" t="s">
        <v>1387</v>
      </c>
      <c r="B3" s="944"/>
      <c r="C3" s="944"/>
      <c r="D3" s="944"/>
      <c r="E3" s="944"/>
      <c r="F3" s="944"/>
    </row>
    <row r="4" spans="1:6" ht="12.75" customHeight="1" x14ac:dyDescent="0.25">
      <c r="A4" s="83"/>
      <c r="B4" s="83"/>
      <c r="C4" s="83"/>
      <c r="D4" s="83"/>
      <c r="E4" s="83"/>
    </row>
    <row r="5" spans="1:6" ht="15" customHeight="1" x14ac:dyDescent="0.25">
      <c r="A5" s="952" t="s">
        <v>951</v>
      </c>
      <c r="B5" s="942"/>
      <c r="C5" s="942"/>
      <c r="D5" s="942"/>
      <c r="E5" s="942"/>
      <c r="F5" s="942"/>
    </row>
    <row r="6" spans="1:6" x14ac:dyDescent="0.25">
      <c r="A6" s="680"/>
      <c r="B6" s="472"/>
      <c r="C6" s="379" t="s">
        <v>331</v>
      </c>
      <c r="D6" s="379"/>
      <c r="E6" s="379"/>
    </row>
    <row r="7" spans="1:6" x14ac:dyDescent="0.25">
      <c r="A7" s="680"/>
      <c r="B7" s="472"/>
      <c r="C7" s="379" t="s">
        <v>332</v>
      </c>
      <c r="D7" s="379" t="s">
        <v>313</v>
      </c>
      <c r="E7" s="379" t="s">
        <v>314</v>
      </c>
    </row>
    <row r="8" spans="1:6" x14ac:dyDescent="0.25">
      <c r="A8" s="472" t="s">
        <v>133</v>
      </c>
      <c r="B8" s="491" t="s">
        <v>72</v>
      </c>
      <c r="C8" s="379" t="s">
        <v>1114</v>
      </c>
      <c r="D8" s="379" t="s">
        <v>1098</v>
      </c>
      <c r="E8" s="379"/>
    </row>
    <row r="9" spans="1:6" x14ac:dyDescent="0.25">
      <c r="A9" s="680"/>
      <c r="B9" s="472"/>
      <c r="C9" s="379" t="s">
        <v>298</v>
      </c>
      <c r="D9" s="379" t="s">
        <v>298</v>
      </c>
      <c r="E9" s="379" t="s">
        <v>298</v>
      </c>
    </row>
    <row r="10" spans="1:6" ht="12" customHeight="1" x14ac:dyDescent="0.25">
      <c r="A10" s="127" t="s">
        <v>0</v>
      </c>
      <c r="B10" s="608" t="s">
        <v>952</v>
      </c>
      <c r="C10" s="88"/>
      <c r="D10" s="681"/>
      <c r="E10" s="88"/>
    </row>
    <row r="11" spans="1:6" ht="12" customHeight="1" x14ac:dyDescent="0.25">
      <c r="A11" s="127" t="s">
        <v>459</v>
      </c>
      <c r="B11" s="117"/>
      <c r="C11" s="88"/>
      <c r="D11" s="681"/>
      <c r="E11" s="88"/>
    </row>
    <row r="12" spans="1:6" ht="12" customHeight="1" x14ac:dyDescent="0.25">
      <c r="A12" s="316" t="str">
        <f>+'3'!B219</f>
        <v>Land</v>
      </c>
      <c r="B12" s="117"/>
      <c r="C12" s="634">
        <f>+'3'!C219</f>
        <v>0</v>
      </c>
      <c r="D12" s="638">
        <f>+'6'!C165</f>
        <v>0</v>
      </c>
      <c r="E12" s="634">
        <f>+D12-C12</f>
        <v>0</v>
      </c>
      <c r="F12" s="682"/>
    </row>
    <row r="13" spans="1:6" ht="12" customHeight="1" x14ac:dyDescent="0.25">
      <c r="A13" s="316" t="str">
        <f>+'3'!B220</f>
        <v>Land improvements</v>
      </c>
      <c r="B13" s="117"/>
      <c r="C13" s="634">
        <f>+'3'!C220</f>
        <v>0</v>
      </c>
      <c r="D13" s="638">
        <f>+'6'!C166</f>
        <v>0</v>
      </c>
      <c r="E13" s="634">
        <f>+D13-C13</f>
        <v>0</v>
      </c>
      <c r="F13" s="682"/>
    </row>
    <row r="14" spans="1:6" ht="12" customHeight="1" x14ac:dyDescent="0.25">
      <c r="A14" s="127" t="str">
        <f>+'3'!B221</f>
        <v>Total land</v>
      </c>
      <c r="B14" s="117"/>
      <c r="C14" s="683">
        <f>SUM(C12:C13)</f>
        <v>0</v>
      </c>
      <c r="D14" s="388">
        <f>SUM(D12:D13)</f>
        <v>0</v>
      </c>
      <c r="E14" s="683">
        <f>SUM(E12:E13)</f>
        <v>0</v>
      </c>
      <c r="F14" s="682"/>
    </row>
    <row r="15" spans="1:6" ht="12" customHeight="1" x14ac:dyDescent="0.25">
      <c r="A15" s="316" t="str">
        <f>+'3'!B222</f>
        <v>Buildings</v>
      </c>
      <c r="B15" s="117"/>
      <c r="C15" s="634">
        <v>5384</v>
      </c>
      <c r="D15" s="640">
        <f>+'6'!C176</f>
        <v>5054</v>
      </c>
      <c r="E15" s="684">
        <f t="shared" ref="E15:E18" si="0">+D15-C15</f>
        <v>-330</v>
      </c>
      <c r="F15" s="682"/>
    </row>
    <row r="16" spans="1:6" ht="12" customHeight="1" x14ac:dyDescent="0.25">
      <c r="A16" s="316" t="str">
        <f>+'3'!B223</f>
        <v>Heritage buildings</v>
      </c>
      <c r="B16" s="117"/>
      <c r="C16" s="634">
        <v>0</v>
      </c>
      <c r="D16" s="638">
        <f>+'6'!C178</f>
        <v>0</v>
      </c>
      <c r="E16" s="634">
        <f t="shared" si="0"/>
        <v>0</v>
      </c>
      <c r="F16" s="682"/>
    </row>
    <row r="17" spans="1:13" ht="12" customHeight="1" x14ac:dyDescent="0.25">
      <c r="A17" s="316" t="str">
        <f>+'3'!B224</f>
        <v>Building improvements</v>
      </c>
      <c r="B17" s="117"/>
      <c r="C17" s="634">
        <f>+'3'!C225</f>
        <v>0</v>
      </c>
      <c r="D17" s="638">
        <f>+'6'!C180</f>
        <v>0</v>
      </c>
      <c r="E17" s="634">
        <f t="shared" si="0"/>
        <v>0</v>
      </c>
      <c r="F17" s="682"/>
    </row>
    <row r="18" spans="1:13" ht="12" customHeight="1" x14ac:dyDescent="0.25">
      <c r="A18" s="316" t="str">
        <f>+'3'!B225</f>
        <v>Leasehold improvements</v>
      </c>
      <c r="B18" s="117"/>
      <c r="C18" s="634">
        <v>0</v>
      </c>
      <c r="D18" s="638">
        <f>+'6'!C182</f>
        <v>0</v>
      </c>
      <c r="E18" s="634">
        <f t="shared" si="0"/>
        <v>0</v>
      </c>
      <c r="F18" s="682"/>
    </row>
    <row r="19" spans="1:13" ht="12" customHeight="1" x14ac:dyDescent="0.25">
      <c r="A19" s="127" t="str">
        <f>+'3'!B226</f>
        <v>Total buildings</v>
      </c>
      <c r="B19" s="117"/>
      <c r="C19" s="683">
        <f>SUM(C15:C18)</f>
        <v>5384</v>
      </c>
      <c r="D19" s="388">
        <f>SUM(D15:D18)</f>
        <v>5054</v>
      </c>
      <c r="E19" s="683">
        <f>SUM(E15:E18)</f>
        <v>-330</v>
      </c>
      <c r="F19" s="682"/>
    </row>
    <row r="20" spans="1:13" ht="12.75" customHeight="1" x14ac:dyDescent="0.25">
      <c r="A20" s="127" t="str">
        <f>+'3'!B227</f>
        <v>Total property</v>
      </c>
      <c r="B20" s="117"/>
      <c r="C20" s="635">
        <f>+C19+C14</f>
        <v>5384</v>
      </c>
      <c r="D20" s="402">
        <f>+D19+D14</f>
        <v>5054</v>
      </c>
      <c r="E20" s="635">
        <f>+E19+E14</f>
        <v>-330</v>
      </c>
      <c r="F20" s="682"/>
    </row>
    <row r="21" spans="1:13" ht="12" customHeight="1" x14ac:dyDescent="0.25">
      <c r="A21" s="127" t="s">
        <v>460</v>
      </c>
      <c r="B21" s="117"/>
      <c r="C21" s="634"/>
      <c r="D21" s="638"/>
      <c r="E21" s="634"/>
      <c r="F21" s="682"/>
    </row>
    <row r="22" spans="1:13" ht="12" customHeight="1" x14ac:dyDescent="0.25">
      <c r="A22" s="316" t="str">
        <f>+'3'!B229</f>
        <v>Heritage plant and equipment</v>
      </c>
      <c r="B22" s="117"/>
      <c r="C22" s="634">
        <f>+'3'!C229</f>
        <v>0</v>
      </c>
      <c r="D22" s="638">
        <f>+'6'!C188</f>
        <v>0</v>
      </c>
      <c r="E22" s="634">
        <f>+D22-C22</f>
        <v>0</v>
      </c>
      <c r="F22" s="682"/>
    </row>
    <row r="23" spans="1:13" ht="12" customHeight="1" x14ac:dyDescent="0.25">
      <c r="A23" s="316" t="str">
        <f>+'3'!B230</f>
        <v>Plant, machinery and equipment</v>
      </c>
      <c r="B23" s="117"/>
      <c r="C23" s="634">
        <v>168</v>
      </c>
      <c r="D23" s="638">
        <f>+'6'!C191</f>
        <v>158</v>
      </c>
      <c r="E23" s="634">
        <f t="shared" ref="E23:E26" si="1">+D23-C23</f>
        <v>-10</v>
      </c>
      <c r="F23" s="682"/>
    </row>
    <row r="24" spans="1:13" ht="12" customHeight="1" x14ac:dyDescent="0.25">
      <c r="A24" s="316" t="str">
        <f>+'3'!B231</f>
        <v>Fixtures, fittings and furniture</v>
      </c>
      <c r="B24" s="117"/>
      <c r="C24" s="634">
        <v>0</v>
      </c>
      <c r="D24" s="638">
        <f>+'6'!C197</f>
        <v>0</v>
      </c>
      <c r="E24" s="634">
        <f t="shared" si="1"/>
        <v>0</v>
      </c>
      <c r="F24" s="682"/>
    </row>
    <row r="25" spans="1:13" ht="12" customHeight="1" x14ac:dyDescent="0.25">
      <c r="A25" s="316" t="str">
        <f>+'3'!B232</f>
        <v>Computers and telecommunications</v>
      </c>
      <c r="B25" s="117"/>
      <c r="C25" s="634">
        <v>849</v>
      </c>
      <c r="D25" s="638">
        <f>+'6'!C202</f>
        <v>797</v>
      </c>
      <c r="E25" s="634">
        <f t="shared" si="1"/>
        <v>-52</v>
      </c>
      <c r="F25" s="682"/>
    </row>
    <row r="26" spans="1:13" ht="12" customHeight="1" x14ac:dyDescent="0.25">
      <c r="A26" s="316" t="str">
        <f>+'3'!B233</f>
        <v>Library books</v>
      </c>
      <c r="B26" s="117"/>
      <c r="C26" s="634">
        <v>0</v>
      </c>
      <c r="D26" s="638">
        <f>+'6'!C204</f>
        <v>0</v>
      </c>
      <c r="E26" s="634">
        <f t="shared" si="1"/>
        <v>0</v>
      </c>
      <c r="F26" s="682"/>
    </row>
    <row r="27" spans="1:13" ht="12" customHeight="1" x14ac:dyDescent="0.25">
      <c r="A27" s="127" t="str">
        <f>+'3'!B234</f>
        <v>Total plant and equipment</v>
      </c>
      <c r="B27" s="117"/>
      <c r="C27" s="683">
        <f>SUM(C22:C26)</f>
        <v>1017</v>
      </c>
      <c r="D27" s="388">
        <f>SUM(D22:D26)</f>
        <v>955</v>
      </c>
      <c r="E27" s="683">
        <f>SUM(E22:E26)</f>
        <v>-62</v>
      </c>
      <c r="F27" s="682"/>
    </row>
    <row r="28" spans="1:13" ht="12" customHeight="1" x14ac:dyDescent="0.25">
      <c r="A28" s="127" t="str">
        <f>+'3'!B235</f>
        <v>Infrastructure</v>
      </c>
      <c r="B28" s="117"/>
      <c r="C28" s="651"/>
      <c r="D28" s="640"/>
      <c r="E28" s="651"/>
      <c r="F28" s="682"/>
    </row>
    <row r="29" spans="1:13" ht="12" customHeight="1" x14ac:dyDescent="0.25">
      <c r="A29" s="316" t="str">
        <f>+'3'!B236</f>
        <v>Roads</v>
      </c>
      <c r="B29" s="117"/>
      <c r="C29" s="634">
        <v>444</v>
      </c>
      <c r="D29" s="638">
        <f>+'6'!C215</f>
        <v>417</v>
      </c>
      <c r="E29" s="634">
        <v>-27</v>
      </c>
      <c r="F29" s="682"/>
      <c r="L29" s="312" t="s">
        <v>33</v>
      </c>
    </row>
    <row r="30" spans="1:13" ht="12" customHeight="1" x14ac:dyDescent="0.25">
      <c r="A30" s="316" t="str">
        <f>+'3'!B237</f>
        <v>Bridges</v>
      </c>
      <c r="B30" s="117"/>
      <c r="C30" s="634">
        <v>0</v>
      </c>
      <c r="D30" s="638">
        <f>+'6'!C217</f>
        <v>0</v>
      </c>
      <c r="E30" s="634">
        <v>-27</v>
      </c>
      <c r="F30" s="682"/>
      <c r="H30" s="676"/>
      <c r="I30" s="677"/>
      <c r="J30" s="678"/>
      <c r="L30" s="63" t="s">
        <v>459</v>
      </c>
      <c r="M30" s="470">
        <f>SUM(D20,D52)</f>
        <v>13485</v>
      </c>
    </row>
    <row r="31" spans="1:13" ht="12" customHeight="1" x14ac:dyDescent="0.25">
      <c r="A31" s="316" t="str">
        <f>+'3'!B238</f>
        <v>Footpaths and cycleways</v>
      </c>
      <c r="B31" s="117"/>
      <c r="C31" s="634">
        <v>356</v>
      </c>
      <c r="D31" s="638">
        <f>+'6'!C222</f>
        <v>334</v>
      </c>
      <c r="E31" s="634">
        <v>-22</v>
      </c>
      <c r="F31" s="682"/>
      <c r="H31" s="677"/>
      <c r="I31" s="677"/>
      <c r="J31" s="678"/>
      <c r="L31" s="63" t="s">
        <v>460</v>
      </c>
      <c r="M31" s="470">
        <f>SUM(D27,D59)</f>
        <v>5791</v>
      </c>
    </row>
    <row r="32" spans="1:13" ht="12" customHeight="1" x14ac:dyDescent="0.25">
      <c r="A32" s="316" t="str">
        <f>+'3'!B239</f>
        <v>Drainage</v>
      </c>
      <c r="B32" s="117"/>
      <c r="C32" s="634">
        <v>250</v>
      </c>
      <c r="D32" s="638">
        <f>+'6'!C228</f>
        <v>235</v>
      </c>
      <c r="E32" s="634">
        <v>-15</v>
      </c>
      <c r="F32" s="682"/>
      <c r="I32" s="677"/>
      <c r="J32" s="678"/>
      <c r="L32" s="63" t="s">
        <v>461</v>
      </c>
      <c r="M32" s="470">
        <f>SUM(D39,D71)</f>
        <v>11441</v>
      </c>
    </row>
    <row r="33" spans="1:10" ht="12" customHeight="1" x14ac:dyDescent="0.25">
      <c r="A33" s="316" t="str">
        <f>+'3'!B240</f>
        <v>Recreational, leisure and community facilities</v>
      </c>
      <c r="B33" s="117"/>
      <c r="C33" s="634">
        <v>11</v>
      </c>
      <c r="D33" s="638">
        <f>+'6'!C236</f>
        <v>10</v>
      </c>
      <c r="E33" s="634">
        <v>-1</v>
      </c>
      <c r="F33" s="682"/>
      <c r="I33" s="677"/>
      <c r="J33" s="678"/>
    </row>
    <row r="34" spans="1:10" ht="12" customHeight="1" x14ac:dyDescent="0.25">
      <c r="A34" s="316" t="str">
        <f>+'3'!B241</f>
        <v>Waste management</v>
      </c>
      <c r="B34" s="117"/>
      <c r="C34" s="634">
        <v>0</v>
      </c>
      <c r="D34" s="638">
        <f>+'6'!C238</f>
        <v>0</v>
      </c>
      <c r="E34" s="634">
        <v>-3</v>
      </c>
      <c r="F34" s="682"/>
      <c r="I34" s="677"/>
      <c r="J34" s="678"/>
    </row>
    <row r="35" spans="1:10" ht="12" customHeight="1" x14ac:dyDescent="0.25">
      <c r="A35" s="316" t="str">
        <f>+'3'!B242</f>
        <v>Parks, open space and streetscapes</v>
      </c>
      <c r="B35" s="117"/>
      <c r="C35" s="634">
        <v>53</v>
      </c>
      <c r="D35" s="638">
        <f>+'6'!C242</f>
        <v>50</v>
      </c>
      <c r="E35" s="634">
        <v>-2</v>
      </c>
      <c r="F35" s="682"/>
      <c r="I35" s="677"/>
      <c r="J35" s="678"/>
    </row>
    <row r="36" spans="1:10" ht="12" customHeight="1" x14ac:dyDescent="0.25">
      <c r="A36" s="316" t="str">
        <f>+'3'!B243</f>
        <v>Aerodromes</v>
      </c>
      <c r="B36" s="117"/>
      <c r="C36" s="651">
        <v>0</v>
      </c>
      <c r="D36" s="640">
        <f>+'6'!C244</f>
        <v>0</v>
      </c>
      <c r="E36" s="651">
        <v>-3</v>
      </c>
      <c r="F36" s="682"/>
    </row>
    <row r="37" spans="1:10" ht="12" customHeight="1" x14ac:dyDescent="0.25">
      <c r="A37" s="316" t="str">
        <f>+'3'!B244</f>
        <v>Off street car parks</v>
      </c>
      <c r="B37" s="117"/>
      <c r="C37" s="651">
        <v>37</v>
      </c>
      <c r="D37" s="640">
        <f>+'6'!C248</f>
        <v>35</v>
      </c>
      <c r="E37" s="634">
        <v>-27</v>
      </c>
      <c r="F37" s="682"/>
    </row>
    <row r="38" spans="1:10" ht="12" customHeight="1" x14ac:dyDescent="0.25">
      <c r="A38" s="316" t="str">
        <f>+'3'!B245</f>
        <v>Other infrastructure</v>
      </c>
      <c r="B38" s="117"/>
      <c r="C38" s="651">
        <v>38</v>
      </c>
      <c r="D38" s="640">
        <f>+'6'!C252</f>
        <v>35</v>
      </c>
      <c r="E38" s="651">
        <v>-27</v>
      </c>
      <c r="F38" s="682"/>
    </row>
    <row r="39" spans="1:10" ht="12" customHeight="1" x14ac:dyDescent="0.25">
      <c r="A39" s="127" t="str">
        <f>+'3'!B246</f>
        <v>Total infrastructure</v>
      </c>
      <c r="B39" s="117"/>
      <c r="C39" s="683">
        <f>SUM(C28:C38)</f>
        <v>1189</v>
      </c>
      <c r="D39" s="685">
        <f>SUM(D29:D38)</f>
        <v>1116</v>
      </c>
      <c r="E39" s="683">
        <f>SUM(E30:E36)</f>
        <v>-73</v>
      </c>
      <c r="F39" s="682"/>
    </row>
    <row r="40" spans="1:10" ht="12" customHeight="1" x14ac:dyDescent="0.25">
      <c r="A40" s="127" t="s">
        <v>1</v>
      </c>
      <c r="B40" s="117"/>
      <c r="C40" s="635">
        <f>+C20+C27+C39</f>
        <v>7590</v>
      </c>
      <c r="D40" s="402">
        <f>SUM(D39,D27,D20)</f>
        <v>7125</v>
      </c>
      <c r="E40" s="635">
        <f>SUM(E39,E27,E20)</f>
        <v>-465</v>
      </c>
      <c r="F40" s="682"/>
    </row>
    <row r="41" spans="1:10" ht="12" customHeight="1" x14ac:dyDescent="0.25">
      <c r="A41" s="313"/>
      <c r="B41" s="117"/>
      <c r="C41" s="634"/>
      <c r="D41" s="638"/>
      <c r="E41" s="634"/>
      <c r="F41" s="682"/>
    </row>
    <row r="42" spans="1:10" ht="12" customHeight="1" x14ac:dyDescent="0.25">
      <c r="A42" s="127" t="s">
        <v>2</v>
      </c>
      <c r="B42" s="117"/>
      <c r="C42" s="634"/>
      <c r="D42" s="638"/>
      <c r="E42" s="634"/>
      <c r="F42" s="682"/>
      <c r="I42" s="677"/>
      <c r="J42" s="678"/>
    </row>
    <row r="43" spans="1:10" ht="12" customHeight="1" x14ac:dyDescent="0.25">
      <c r="A43" s="127" t="s">
        <v>459</v>
      </c>
      <c r="B43" s="608" t="s">
        <v>953</v>
      </c>
      <c r="C43" s="634"/>
      <c r="D43" s="638"/>
      <c r="E43" s="634"/>
      <c r="F43" s="682"/>
      <c r="I43" s="677"/>
      <c r="J43" s="678"/>
    </row>
    <row r="44" spans="1:10" ht="12" customHeight="1" x14ac:dyDescent="0.25">
      <c r="A44" s="316" t="str">
        <f>+'3'!B219</f>
        <v>Land</v>
      </c>
      <c r="B44" s="117"/>
      <c r="C44" s="634">
        <v>0</v>
      </c>
      <c r="D44" s="638">
        <f>+'6'!C19</f>
        <v>0</v>
      </c>
      <c r="E44" s="634">
        <f>+D44-C44</f>
        <v>0</v>
      </c>
      <c r="F44" s="682"/>
      <c r="I44" s="677"/>
      <c r="J44" s="678"/>
    </row>
    <row r="45" spans="1:10" ht="12" customHeight="1" x14ac:dyDescent="0.25">
      <c r="A45" s="316" t="str">
        <f>+'3'!B220</f>
        <v>Land improvements</v>
      </c>
      <c r="B45" s="117"/>
      <c r="C45" s="634">
        <v>0</v>
      </c>
      <c r="D45" s="638">
        <f>+'6'!C21</f>
        <v>0</v>
      </c>
      <c r="E45" s="634">
        <f>+D45-C45</f>
        <v>0</v>
      </c>
      <c r="F45" s="682"/>
      <c r="I45" s="677"/>
      <c r="J45" s="678"/>
    </row>
    <row r="46" spans="1:10" ht="12" customHeight="1" x14ac:dyDescent="0.25">
      <c r="A46" s="127" t="s">
        <v>570</v>
      </c>
      <c r="B46" s="117"/>
      <c r="C46" s="683">
        <f>SUM(C44:C45)</f>
        <v>0</v>
      </c>
      <c r="D46" s="685">
        <f>SUM(D44:D45)</f>
        <v>0</v>
      </c>
      <c r="E46" s="683">
        <f>SUM(E44:E45)</f>
        <v>0</v>
      </c>
      <c r="F46" s="682"/>
      <c r="I46" s="677"/>
      <c r="J46" s="678"/>
    </row>
    <row r="47" spans="1:10" ht="12" customHeight="1" x14ac:dyDescent="0.25">
      <c r="A47" s="316" t="str">
        <f>+'3'!B222</f>
        <v>Buildings</v>
      </c>
      <c r="B47" s="117"/>
      <c r="C47" s="634">
        <v>5295</v>
      </c>
      <c r="D47" s="638">
        <f>+'6'!C32</f>
        <v>8314</v>
      </c>
      <c r="E47" s="634">
        <f>+D47-C47</f>
        <v>3019</v>
      </c>
      <c r="F47" s="682"/>
      <c r="I47" s="677"/>
      <c r="J47" s="678"/>
    </row>
    <row r="48" spans="1:10" ht="12" customHeight="1" x14ac:dyDescent="0.25">
      <c r="A48" s="316" t="str">
        <f>+'3'!B223</f>
        <v>Heritage buildings</v>
      </c>
      <c r="B48" s="117"/>
      <c r="C48" s="651">
        <v>0</v>
      </c>
      <c r="D48" s="640">
        <f>+'6'!C34</f>
        <v>0</v>
      </c>
      <c r="E48" s="651">
        <f t="shared" ref="E48:E50" si="2">+D48-C48</f>
        <v>0</v>
      </c>
      <c r="F48" s="682"/>
      <c r="I48" s="677"/>
      <c r="J48" s="678"/>
    </row>
    <row r="49" spans="1:10" ht="13.8" x14ac:dyDescent="0.25">
      <c r="A49" s="316" t="str">
        <f>+'3'!B224</f>
        <v>Building improvements</v>
      </c>
      <c r="B49" s="117"/>
      <c r="C49" s="651">
        <v>75</v>
      </c>
      <c r="D49" s="640">
        <f>+'6'!C38</f>
        <v>117</v>
      </c>
      <c r="E49" s="651">
        <f t="shared" si="2"/>
        <v>42</v>
      </c>
      <c r="F49" s="682"/>
      <c r="I49" s="677"/>
      <c r="J49" s="678"/>
    </row>
    <row r="50" spans="1:10" ht="12" customHeight="1" x14ac:dyDescent="0.25">
      <c r="A50" s="316" t="str">
        <f>+'3'!B225</f>
        <v>Leasehold improvements</v>
      </c>
      <c r="B50" s="117"/>
      <c r="C50" s="651">
        <v>0</v>
      </c>
      <c r="D50" s="640">
        <f>+'6'!C40</f>
        <v>0</v>
      </c>
      <c r="E50" s="651">
        <f t="shared" si="2"/>
        <v>0</v>
      </c>
      <c r="F50" s="682"/>
      <c r="I50" s="677"/>
      <c r="J50" s="678"/>
    </row>
    <row r="51" spans="1:10" ht="12" customHeight="1" x14ac:dyDescent="0.25">
      <c r="A51" s="127" t="str">
        <f>+'3'!B226</f>
        <v>Total buildings</v>
      </c>
      <c r="B51" s="117"/>
      <c r="C51" s="683">
        <f>SUM(C47:C50)</f>
        <v>5370</v>
      </c>
      <c r="D51" s="685">
        <f>SUM(D47:D50)</f>
        <v>8431</v>
      </c>
      <c r="E51" s="683">
        <f>SUM(E47:E50)</f>
        <v>3061</v>
      </c>
      <c r="F51" s="682"/>
      <c r="I51" s="677"/>
      <c r="J51" s="678"/>
    </row>
    <row r="52" spans="1:10" ht="12" customHeight="1" x14ac:dyDescent="0.25">
      <c r="A52" s="127" t="str">
        <f>+'3'!B227</f>
        <v>Total property</v>
      </c>
      <c r="B52" s="117"/>
      <c r="C52" s="635">
        <f>+C51+C46</f>
        <v>5370</v>
      </c>
      <c r="D52" s="639">
        <f>+D51+D46</f>
        <v>8431</v>
      </c>
      <c r="E52" s="635">
        <f>+E51+E46</f>
        <v>3061</v>
      </c>
      <c r="F52" s="682"/>
      <c r="I52" s="677"/>
      <c r="J52" s="678"/>
    </row>
    <row r="53" spans="1:10" ht="12" customHeight="1" x14ac:dyDescent="0.25">
      <c r="A53" s="127" t="str">
        <f>+'3'!B228</f>
        <v>Plant and equipment</v>
      </c>
      <c r="B53" s="608" t="s">
        <v>954</v>
      </c>
      <c r="C53" s="634"/>
      <c r="D53" s="638"/>
      <c r="E53" s="634"/>
      <c r="F53" s="682"/>
      <c r="I53" s="677"/>
      <c r="J53" s="678"/>
    </row>
    <row r="54" spans="1:10" ht="12" customHeight="1" x14ac:dyDescent="0.25">
      <c r="A54" s="316" t="str">
        <f>+'3'!B229</f>
        <v>Heritage plant and equipment</v>
      </c>
      <c r="B54" s="117"/>
      <c r="C54" s="634">
        <v>0</v>
      </c>
      <c r="D54" s="638">
        <f>+'6'!C50</f>
        <v>0</v>
      </c>
      <c r="E54" s="634">
        <f>+D54-C54</f>
        <v>0</v>
      </c>
      <c r="F54" s="682"/>
      <c r="I54" s="677"/>
      <c r="J54" s="678"/>
    </row>
    <row r="55" spans="1:10" ht="12" customHeight="1" x14ac:dyDescent="0.25">
      <c r="A55" s="316" t="str">
        <f>+'3'!B230</f>
        <v>Plant, machinery and equipment</v>
      </c>
      <c r="B55" s="117"/>
      <c r="C55" s="634">
        <v>1924</v>
      </c>
      <c r="D55" s="638">
        <f>+'6'!C54</f>
        <v>3021</v>
      </c>
      <c r="E55" s="634">
        <f>+D55-C55</f>
        <v>1097</v>
      </c>
      <c r="F55" s="682"/>
      <c r="I55" s="677"/>
      <c r="J55" s="678"/>
    </row>
    <row r="56" spans="1:10" ht="12" customHeight="1" x14ac:dyDescent="0.25">
      <c r="A56" s="316" t="str">
        <f>+'3'!B231</f>
        <v>Fixtures, fittings and furniture</v>
      </c>
      <c r="B56" s="117"/>
      <c r="C56" s="634">
        <v>0</v>
      </c>
      <c r="D56" s="638">
        <f>+'6'!C56</f>
        <v>0</v>
      </c>
      <c r="E56" s="634">
        <f>+D56-C56</f>
        <v>0</v>
      </c>
      <c r="F56" s="682"/>
      <c r="I56" s="677"/>
      <c r="J56" s="678"/>
    </row>
    <row r="57" spans="1:10" ht="12" customHeight="1" x14ac:dyDescent="0.25">
      <c r="A57" s="316" t="str">
        <f>+'3'!B232</f>
        <v>Computers and telecommunications</v>
      </c>
      <c r="B57" s="117"/>
      <c r="C57" s="634">
        <v>838</v>
      </c>
      <c r="D57" s="638">
        <f>+'6'!C63</f>
        <v>1315</v>
      </c>
      <c r="E57" s="634">
        <f>+D57-C57</f>
        <v>477</v>
      </c>
      <c r="F57" s="682"/>
      <c r="I57" s="677"/>
      <c r="J57" s="678"/>
    </row>
    <row r="58" spans="1:10" ht="12" customHeight="1" x14ac:dyDescent="0.25">
      <c r="A58" s="316" t="str">
        <f>+'3'!B233</f>
        <v>Library books</v>
      </c>
      <c r="B58" s="117"/>
      <c r="C58" s="635">
        <v>318</v>
      </c>
      <c r="D58" s="639">
        <f>+'6'!C67</f>
        <v>500</v>
      </c>
      <c r="E58" s="635">
        <f>+D58-C58</f>
        <v>182</v>
      </c>
      <c r="F58" s="682"/>
      <c r="I58" s="677"/>
      <c r="J58" s="678"/>
    </row>
    <row r="59" spans="1:10" ht="12" customHeight="1" x14ac:dyDescent="0.25">
      <c r="A59" s="127" t="str">
        <f>+'3'!B234</f>
        <v>Total plant and equipment</v>
      </c>
      <c r="B59" s="117"/>
      <c r="C59" s="635">
        <f>SUM(C54:C58)</f>
        <v>3080</v>
      </c>
      <c r="D59" s="639">
        <f t="shared" ref="D59:E59" si="3">SUM(D54:D58)</f>
        <v>4836</v>
      </c>
      <c r="E59" s="635">
        <f t="shared" si="3"/>
        <v>1756</v>
      </c>
      <c r="F59" s="682"/>
      <c r="I59" s="677"/>
      <c r="J59" s="678"/>
    </row>
    <row r="60" spans="1:10" ht="12" customHeight="1" x14ac:dyDescent="0.25">
      <c r="A60" s="127" t="str">
        <f>+'3'!B235</f>
        <v>Infrastructure</v>
      </c>
      <c r="B60" s="608" t="s">
        <v>955</v>
      </c>
      <c r="C60" s="634"/>
      <c r="D60" s="638"/>
      <c r="E60" s="634"/>
      <c r="F60" s="682"/>
      <c r="I60" s="677"/>
      <c r="J60" s="678"/>
    </row>
    <row r="61" spans="1:10" ht="12" customHeight="1" x14ac:dyDescent="0.25">
      <c r="A61" s="316" t="str">
        <f>+'3'!B236</f>
        <v>Roads</v>
      </c>
      <c r="B61" s="117"/>
      <c r="C61" s="634">
        <v>3154</v>
      </c>
      <c r="D61" s="638">
        <f>+'6'!C95</f>
        <v>4950</v>
      </c>
      <c r="E61" s="634">
        <f>+D61-C61</f>
        <v>1796</v>
      </c>
      <c r="F61" s="682"/>
      <c r="I61" s="677"/>
      <c r="J61" s="678"/>
    </row>
    <row r="62" spans="1:10" ht="12" customHeight="1" x14ac:dyDescent="0.25">
      <c r="A62" s="316" t="str">
        <f>+'3'!B237</f>
        <v>Bridges</v>
      </c>
      <c r="B62" s="117"/>
      <c r="C62" s="634">
        <v>6</v>
      </c>
      <c r="D62" s="638">
        <f>+'6'!C99</f>
        <v>10</v>
      </c>
      <c r="E62" s="634">
        <f t="shared" ref="E62:E70" si="4">+D62-C62</f>
        <v>4</v>
      </c>
      <c r="F62" s="682"/>
      <c r="I62" s="677"/>
      <c r="J62" s="678"/>
    </row>
    <row r="63" spans="1:10" ht="12" customHeight="1" x14ac:dyDescent="0.25">
      <c r="A63" s="316" t="str">
        <f>+'3'!B238</f>
        <v>Footpaths and cycleways</v>
      </c>
      <c r="B63" s="117"/>
      <c r="C63" s="634">
        <v>221</v>
      </c>
      <c r="D63" s="638">
        <f>+'6'!C111</f>
        <v>347</v>
      </c>
      <c r="E63" s="634">
        <f t="shared" si="4"/>
        <v>126</v>
      </c>
      <c r="F63" s="682"/>
      <c r="I63" s="677"/>
      <c r="J63" s="678"/>
    </row>
    <row r="64" spans="1:10" ht="12" customHeight="1" x14ac:dyDescent="0.25">
      <c r="A64" s="316" t="str">
        <f>+'3'!B239</f>
        <v>Drainage</v>
      </c>
      <c r="B64" s="117"/>
      <c r="C64" s="634">
        <v>1051</v>
      </c>
      <c r="D64" s="638">
        <f>+'6'!C120</f>
        <v>1650</v>
      </c>
      <c r="E64" s="634">
        <f t="shared" si="4"/>
        <v>599</v>
      </c>
      <c r="F64" s="682"/>
      <c r="I64" s="677"/>
      <c r="J64" s="678"/>
    </row>
    <row r="65" spans="1:10" ht="12" customHeight="1" x14ac:dyDescent="0.25">
      <c r="A65" s="316" t="str">
        <f>+'3'!B240</f>
        <v>Recreational, leisure and community facilities</v>
      </c>
      <c r="B65" s="117"/>
      <c r="C65" s="634">
        <v>394</v>
      </c>
      <c r="D65" s="638">
        <f>+'6'!C126</f>
        <v>619</v>
      </c>
      <c r="E65" s="634">
        <f t="shared" si="4"/>
        <v>225</v>
      </c>
      <c r="F65" s="682"/>
      <c r="I65" s="677"/>
      <c r="J65" s="678"/>
    </row>
    <row r="66" spans="1:10" ht="12" customHeight="1" x14ac:dyDescent="0.25">
      <c r="A66" s="316" t="str">
        <f>+'3'!B241</f>
        <v>Waste management</v>
      </c>
      <c r="B66" s="117"/>
      <c r="C66" s="634">
        <v>0</v>
      </c>
      <c r="D66" s="638">
        <f>+'6'!C128</f>
        <v>0</v>
      </c>
      <c r="E66" s="634">
        <f t="shared" si="4"/>
        <v>0</v>
      </c>
      <c r="F66" s="682"/>
      <c r="I66" s="677"/>
      <c r="J66" s="678"/>
    </row>
    <row r="67" spans="1:10" ht="12" customHeight="1" x14ac:dyDescent="0.25">
      <c r="A67" s="316" t="str">
        <f>+'3'!B242</f>
        <v>Parks, open space and streetscapes</v>
      </c>
      <c r="B67" s="117"/>
      <c r="C67" s="634">
        <v>1633</v>
      </c>
      <c r="D67" s="638">
        <f>+'6'!C135</f>
        <v>2564</v>
      </c>
      <c r="E67" s="634">
        <f t="shared" si="4"/>
        <v>931</v>
      </c>
      <c r="F67" s="682"/>
      <c r="I67" s="677"/>
      <c r="J67" s="678"/>
    </row>
    <row r="68" spans="1:10" ht="12" customHeight="1" x14ac:dyDescent="0.25">
      <c r="A68" s="316" t="str">
        <f>+'3'!B243</f>
        <v>Aerodromes</v>
      </c>
      <c r="B68" s="117"/>
      <c r="C68" s="634">
        <v>0</v>
      </c>
      <c r="D68" s="638">
        <f>+'6'!C141</f>
        <v>0</v>
      </c>
      <c r="E68" s="634">
        <f t="shared" si="4"/>
        <v>0</v>
      </c>
      <c r="F68" s="682"/>
      <c r="I68" s="677"/>
      <c r="J68" s="678"/>
    </row>
    <row r="69" spans="1:10" ht="12" customHeight="1" x14ac:dyDescent="0.25">
      <c r="A69" s="316" t="str">
        <f>+'3'!B244</f>
        <v>Off street car parks</v>
      </c>
      <c r="B69" s="117"/>
      <c r="C69" s="634">
        <v>51</v>
      </c>
      <c r="D69" s="638">
        <f>+'6'!C145</f>
        <v>80</v>
      </c>
      <c r="E69" s="634">
        <f t="shared" si="4"/>
        <v>29</v>
      </c>
      <c r="F69" s="682"/>
      <c r="I69" s="677"/>
      <c r="J69" s="678"/>
    </row>
    <row r="70" spans="1:10" ht="12" customHeight="1" x14ac:dyDescent="0.25">
      <c r="A70" s="316" t="str">
        <f>+'3'!B245</f>
        <v>Other infrastructure</v>
      </c>
      <c r="B70" s="117"/>
      <c r="C70" s="635">
        <v>67</v>
      </c>
      <c r="D70" s="639">
        <f>+'6'!C149</f>
        <v>105</v>
      </c>
      <c r="E70" s="635">
        <f t="shared" si="4"/>
        <v>38</v>
      </c>
      <c r="F70" s="682"/>
      <c r="I70" s="677"/>
      <c r="J70" s="678"/>
    </row>
    <row r="71" spans="1:10" ht="12" customHeight="1" x14ac:dyDescent="0.25">
      <c r="A71" s="127" t="str">
        <f>+'3'!B246</f>
        <v>Total infrastructure</v>
      </c>
      <c r="B71" s="117"/>
      <c r="C71" s="635">
        <f>SUM(C61:C70)</f>
        <v>6577</v>
      </c>
      <c r="D71" s="639">
        <f>SUM(D61:D70)</f>
        <v>10325</v>
      </c>
      <c r="E71" s="635">
        <f>SUM(E61:E70)</f>
        <v>3748</v>
      </c>
      <c r="F71" s="682"/>
      <c r="I71" s="677"/>
      <c r="J71" s="678"/>
    </row>
    <row r="72" spans="1:10" ht="12" customHeight="1" x14ac:dyDescent="0.25">
      <c r="A72" s="127" t="s">
        <v>32</v>
      </c>
      <c r="B72" s="117"/>
      <c r="C72" s="635">
        <f>SUM(C71,C59,C52)</f>
        <v>15027</v>
      </c>
      <c r="D72" s="402">
        <f>SUM(D71,D59,D52)</f>
        <v>23592</v>
      </c>
      <c r="E72" s="635">
        <f>SUM(E71,E59,E52)</f>
        <v>8565</v>
      </c>
      <c r="F72" s="682"/>
      <c r="I72" s="677"/>
      <c r="J72" s="678"/>
    </row>
    <row r="73" spans="1:10" ht="13.8" x14ac:dyDescent="0.25">
      <c r="A73" s="274"/>
      <c r="B73" s="131"/>
      <c r="C73" s="651"/>
      <c r="D73" s="640"/>
      <c r="E73" s="651"/>
      <c r="F73" s="682"/>
      <c r="I73" s="677"/>
      <c r="J73" s="678"/>
    </row>
    <row r="74" spans="1:10" ht="13.8" x14ac:dyDescent="0.25">
      <c r="A74" s="132" t="s">
        <v>469</v>
      </c>
      <c r="B74" s="133"/>
      <c r="C74" s="635">
        <f>SUM(C40,C72)</f>
        <v>22617</v>
      </c>
      <c r="D74" s="402">
        <f>SUM(D40,D72)</f>
        <v>30717</v>
      </c>
      <c r="E74" s="635">
        <f>SUM(E40,E72)</f>
        <v>8100</v>
      </c>
      <c r="F74" s="682"/>
      <c r="I74" s="677"/>
      <c r="J74" s="678"/>
    </row>
    <row r="75" spans="1:10" ht="13.8" x14ac:dyDescent="0.25">
      <c r="A75" s="134"/>
      <c r="B75" s="131"/>
      <c r="C75" s="686"/>
      <c r="D75" s="687"/>
      <c r="E75" s="686"/>
      <c r="F75" s="682"/>
      <c r="I75" s="677"/>
      <c r="J75" s="678"/>
    </row>
    <row r="76" spans="1:10" ht="13.8" x14ac:dyDescent="0.25">
      <c r="A76" s="127" t="s">
        <v>167</v>
      </c>
      <c r="B76" s="117"/>
      <c r="C76" s="688"/>
      <c r="D76" s="689"/>
      <c r="E76" s="688"/>
      <c r="F76" s="682"/>
      <c r="I76" s="677"/>
      <c r="J76" s="678"/>
    </row>
    <row r="77" spans="1:10" ht="13.8" x14ac:dyDescent="0.25">
      <c r="A77" s="316" t="s">
        <v>581</v>
      </c>
      <c r="B77" s="608" t="s">
        <v>956</v>
      </c>
      <c r="C77" s="634">
        <v>12225</v>
      </c>
      <c r="D77" s="638">
        <v>17454</v>
      </c>
      <c r="E77" s="634">
        <f>+D77-C77</f>
        <v>5229</v>
      </c>
      <c r="F77" s="682"/>
      <c r="I77" s="677"/>
      <c r="J77" s="678"/>
    </row>
    <row r="78" spans="1:10" ht="13.8" x14ac:dyDescent="0.25">
      <c r="A78" s="316" t="s">
        <v>432</v>
      </c>
      <c r="B78" s="608" t="s">
        <v>956</v>
      </c>
      <c r="C78" s="634">
        <v>6850</v>
      </c>
      <c r="D78" s="638">
        <v>9176</v>
      </c>
      <c r="E78" s="634">
        <f>+D78-C78</f>
        <v>2326</v>
      </c>
      <c r="F78" s="682"/>
      <c r="I78" s="677"/>
      <c r="J78" s="678"/>
    </row>
    <row r="79" spans="1:10" ht="13.8" x14ac:dyDescent="0.25">
      <c r="A79" s="316" t="s">
        <v>583</v>
      </c>
      <c r="B79" s="608" t="s">
        <v>956</v>
      </c>
      <c r="C79" s="634">
        <v>1352</v>
      </c>
      <c r="D79" s="638">
        <v>632</v>
      </c>
      <c r="E79" s="634">
        <f>+D79-C79</f>
        <v>-720</v>
      </c>
      <c r="F79" s="682"/>
      <c r="I79" s="677"/>
      <c r="J79" s="678"/>
    </row>
    <row r="80" spans="1:10" ht="13.8" x14ac:dyDescent="0.25">
      <c r="A80" s="316" t="s">
        <v>582</v>
      </c>
      <c r="B80" s="608" t="s">
        <v>956</v>
      </c>
      <c r="C80" s="635">
        <v>2190</v>
      </c>
      <c r="D80" s="639">
        <v>3455</v>
      </c>
      <c r="E80" s="635">
        <f>+D80-C80</f>
        <v>1265</v>
      </c>
      <c r="F80" s="682"/>
      <c r="I80" s="677"/>
      <c r="J80" s="678"/>
    </row>
    <row r="81" spans="1:16" ht="13.8" x14ac:dyDescent="0.25">
      <c r="A81" s="132" t="s">
        <v>469</v>
      </c>
      <c r="B81" s="133"/>
      <c r="C81" s="635">
        <f>SUM(C77:C80)</f>
        <v>22617</v>
      </c>
      <c r="D81" s="402">
        <f>SUM(D77:D80)</f>
        <v>30717</v>
      </c>
      <c r="E81" s="635">
        <f>SUM(E77:E80)</f>
        <v>8100</v>
      </c>
      <c r="F81" s="682"/>
      <c r="I81" s="677"/>
      <c r="J81" s="678"/>
    </row>
    <row r="82" spans="1:16" ht="315" customHeight="1" x14ac:dyDescent="0.25">
      <c r="A82" s="83"/>
      <c r="B82" s="83"/>
      <c r="C82" s="83"/>
      <c r="D82" s="83"/>
      <c r="E82" s="83"/>
    </row>
    <row r="83" spans="1:16" ht="315" customHeight="1" x14ac:dyDescent="0.25">
      <c r="A83" s="83"/>
      <c r="B83" s="83"/>
      <c r="C83" s="83"/>
      <c r="D83" s="83"/>
      <c r="E83" s="83"/>
    </row>
    <row r="84" spans="1:16" x14ac:dyDescent="0.25">
      <c r="A84" s="1114" t="s">
        <v>1060</v>
      </c>
      <c r="B84" s="1114"/>
      <c r="C84" s="1114"/>
      <c r="D84" s="1114"/>
      <c r="E84" s="1114"/>
      <c r="F84" s="1114"/>
    </row>
    <row r="85" spans="1:16" x14ac:dyDescent="0.25">
      <c r="A85" s="341"/>
      <c r="B85" s="83"/>
      <c r="C85" s="83"/>
      <c r="D85" s="83"/>
      <c r="E85" s="83"/>
    </row>
    <row r="86" spans="1:16" x14ac:dyDescent="0.25">
      <c r="A86" s="952" t="s">
        <v>957</v>
      </c>
      <c r="B86" s="952"/>
      <c r="C86" s="952"/>
      <c r="D86" s="952"/>
      <c r="E86" s="952"/>
      <c r="F86" s="952"/>
      <c r="L86" s="127" t="s">
        <v>0</v>
      </c>
      <c r="M86" s="305"/>
      <c r="N86" s="88"/>
      <c r="O86" s="118"/>
    </row>
    <row r="87" spans="1:16" ht="66" customHeight="1" x14ac:dyDescent="0.25">
      <c r="A87" s="944" t="s">
        <v>1163</v>
      </c>
      <c r="B87" s="944"/>
      <c r="C87" s="944"/>
      <c r="D87" s="944"/>
      <c r="E87" s="944"/>
      <c r="F87" s="944"/>
      <c r="L87" s="316" t="s">
        <v>442</v>
      </c>
      <c r="M87" s="305"/>
      <c r="N87" s="88"/>
      <c r="O87" s="118"/>
    </row>
    <row r="88" spans="1:16" x14ac:dyDescent="0.25">
      <c r="A88" s="341"/>
      <c r="B88" s="83"/>
      <c r="C88" s="83"/>
      <c r="D88" s="83"/>
      <c r="E88" s="83"/>
      <c r="L88" s="316" t="s">
        <v>443</v>
      </c>
      <c r="M88" s="305"/>
      <c r="N88" s="88"/>
      <c r="O88" s="118">
        <v>0</v>
      </c>
    </row>
    <row r="89" spans="1:16" x14ac:dyDescent="0.25">
      <c r="A89" s="952" t="s">
        <v>958</v>
      </c>
      <c r="B89" s="952"/>
      <c r="C89" s="952"/>
      <c r="D89" s="952"/>
      <c r="E89" s="952"/>
      <c r="F89" s="952"/>
      <c r="L89" s="316" t="s">
        <v>444</v>
      </c>
      <c r="M89" s="305"/>
      <c r="N89" s="88"/>
      <c r="O89" s="118">
        <v>0</v>
      </c>
    </row>
    <row r="90" spans="1:16" ht="26.4" customHeight="1" x14ac:dyDescent="0.25">
      <c r="A90" s="944" t="s">
        <v>544</v>
      </c>
      <c r="B90" s="942"/>
      <c r="C90" s="942"/>
      <c r="D90" s="942"/>
      <c r="E90" s="942"/>
      <c r="F90" s="942"/>
      <c r="L90" s="316" t="s">
        <v>31</v>
      </c>
      <c r="M90" s="305"/>
      <c r="N90" s="88"/>
      <c r="O90" s="130">
        <v>5054</v>
      </c>
    </row>
    <row r="91" spans="1:16" x14ac:dyDescent="0.25">
      <c r="A91" s="341"/>
      <c r="B91" s="83"/>
      <c r="C91" s="83"/>
      <c r="D91" s="83"/>
      <c r="E91" s="83"/>
      <c r="L91" s="316" t="s">
        <v>445</v>
      </c>
      <c r="M91" s="305"/>
      <c r="N91" s="88"/>
      <c r="O91" s="118">
        <v>0</v>
      </c>
      <c r="P91" s="63">
        <f>SUM(O88:O91)</f>
        <v>5054</v>
      </c>
    </row>
    <row r="92" spans="1:16" ht="65.25" customHeight="1" x14ac:dyDescent="0.25">
      <c r="A92" s="944" t="s">
        <v>1164</v>
      </c>
      <c r="B92" s="944"/>
      <c r="C92" s="944"/>
      <c r="D92" s="944"/>
      <c r="E92" s="944"/>
      <c r="F92" s="944"/>
      <c r="L92" s="316" t="s">
        <v>446</v>
      </c>
      <c r="M92" s="305"/>
      <c r="N92" s="88"/>
      <c r="O92" s="118"/>
    </row>
    <row r="93" spans="1:16" x14ac:dyDescent="0.25">
      <c r="A93" s="341"/>
      <c r="B93" s="83"/>
      <c r="C93" s="83"/>
      <c r="D93" s="83"/>
      <c r="E93" s="83"/>
      <c r="L93" s="316" t="s">
        <v>447</v>
      </c>
      <c r="M93" s="305"/>
      <c r="N93" s="88"/>
      <c r="O93" s="118">
        <v>158</v>
      </c>
    </row>
    <row r="94" spans="1:16" x14ac:dyDescent="0.25">
      <c r="A94" s="311" t="s">
        <v>959</v>
      </c>
      <c r="B94" s="341"/>
      <c r="C94" s="341"/>
      <c r="D94" s="341"/>
      <c r="E94" s="341"/>
      <c r="F94" s="341"/>
      <c r="L94" s="316" t="s">
        <v>448</v>
      </c>
      <c r="M94" s="305"/>
      <c r="N94" s="88"/>
      <c r="O94" s="118">
        <v>0</v>
      </c>
    </row>
    <row r="95" spans="1:16" ht="26.4" customHeight="1" x14ac:dyDescent="0.25">
      <c r="A95" s="944" t="s">
        <v>545</v>
      </c>
      <c r="B95" s="942"/>
      <c r="C95" s="942"/>
      <c r="D95" s="942"/>
      <c r="E95" s="942"/>
      <c r="F95" s="942"/>
      <c r="L95" s="316" t="s">
        <v>449</v>
      </c>
      <c r="M95" s="305"/>
      <c r="N95" s="88"/>
      <c r="O95" s="118">
        <v>797</v>
      </c>
    </row>
    <row r="96" spans="1:16" x14ac:dyDescent="0.25">
      <c r="A96" s="341"/>
      <c r="B96" s="83"/>
      <c r="C96" s="83"/>
      <c r="D96" s="83"/>
      <c r="E96" s="83"/>
      <c r="L96" s="316" t="s">
        <v>450</v>
      </c>
      <c r="M96" s="305"/>
      <c r="N96" s="88"/>
      <c r="O96" s="118">
        <v>0</v>
      </c>
      <c r="P96" s="63">
        <f>SUM(O93:O96)</f>
        <v>955</v>
      </c>
    </row>
    <row r="97" spans="1:16" ht="52.95" customHeight="1" x14ac:dyDescent="0.25">
      <c r="A97" s="944" t="s">
        <v>1165</v>
      </c>
      <c r="B97" s="944"/>
      <c r="C97" s="944"/>
      <c r="D97" s="944"/>
      <c r="E97" s="944"/>
      <c r="F97" s="944"/>
      <c r="L97" s="316" t="s">
        <v>451</v>
      </c>
      <c r="M97" s="305"/>
      <c r="N97" s="88"/>
      <c r="O97" s="118"/>
    </row>
    <row r="98" spans="1:16" x14ac:dyDescent="0.25">
      <c r="A98" s="341"/>
      <c r="B98" s="83"/>
      <c r="C98" s="83"/>
      <c r="D98" s="83"/>
      <c r="E98" s="83"/>
      <c r="L98" s="316" t="s">
        <v>30</v>
      </c>
      <c r="M98" s="305"/>
      <c r="N98" s="88"/>
      <c r="O98" s="118">
        <v>417</v>
      </c>
    </row>
    <row r="99" spans="1:16" x14ac:dyDescent="0.25">
      <c r="A99" s="311" t="s">
        <v>960</v>
      </c>
      <c r="B99" s="341"/>
      <c r="C99" s="341"/>
      <c r="D99" s="341"/>
      <c r="E99" s="341"/>
      <c r="F99" s="341"/>
      <c r="L99" s="316" t="s">
        <v>452</v>
      </c>
      <c r="M99" s="305"/>
      <c r="N99" s="88"/>
      <c r="O99" s="118">
        <v>0</v>
      </c>
    </row>
    <row r="100" spans="1:16" ht="26.4" customHeight="1" x14ac:dyDescent="0.25">
      <c r="A100" s="944" t="s">
        <v>546</v>
      </c>
      <c r="B100" s="942"/>
      <c r="C100" s="942"/>
      <c r="D100" s="942"/>
      <c r="E100" s="942"/>
      <c r="F100" s="942"/>
      <c r="L100" s="316" t="s">
        <v>453</v>
      </c>
      <c r="M100" s="305"/>
      <c r="N100" s="88"/>
      <c r="O100" s="118">
        <v>334</v>
      </c>
    </row>
    <row r="101" spans="1:16" x14ac:dyDescent="0.25">
      <c r="A101" s="83"/>
      <c r="B101" s="83"/>
      <c r="C101" s="83"/>
      <c r="D101" s="83"/>
      <c r="E101" s="83"/>
      <c r="L101" s="316" t="s">
        <v>363</v>
      </c>
      <c r="M101" s="305"/>
      <c r="N101" s="88"/>
      <c r="O101" s="118">
        <v>235</v>
      </c>
    </row>
    <row r="102" spans="1:16" ht="178.5" customHeight="1" x14ac:dyDescent="0.25">
      <c r="A102" s="949" t="s">
        <v>1166</v>
      </c>
      <c r="B102" s="1065"/>
      <c r="C102" s="1065"/>
      <c r="D102" s="1065"/>
      <c r="E102" s="1065"/>
      <c r="F102" s="1065"/>
      <c r="L102" s="316" t="s">
        <v>454</v>
      </c>
      <c r="M102" s="305"/>
      <c r="N102" s="88"/>
      <c r="O102" s="118">
        <v>10</v>
      </c>
    </row>
    <row r="103" spans="1:16" x14ac:dyDescent="0.25">
      <c r="A103" s="341"/>
      <c r="B103" s="83"/>
      <c r="C103" s="83"/>
      <c r="D103" s="83"/>
      <c r="E103" s="83"/>
      <c r="L103" s="316" t="s">
        <v>455</v>
      </c>
      <c r="M103" s="305"/>
      <c r="N103" s="88"/>
      <c r="O103" s="118">
        <v>0</v>
      </c>
    </row>
    <row r="104" spans="1:16" ht="26.4" customHeight="1" x14ac:dyDescent="0.25">
      <c r="A104" s="1112" t="s">
        <v>961</v>
      </c>
      <c r="B104" s="1098"/>
      <c r="C104" s="1098"/>
      <c r="D104" s="1098"/>
      <c r="E104" s="1098"/>
      <c r="F104" s="1098"/>
      <c r="L104" s="316" t="s">
        <v>456</v>
      </c>
      <c r="M104" s="305"/>
      <c r="N104" s="88"/>
      <c r="O104" s="118">
        <v>50</v>
      </c>
    </row>
    <row r="105" spans="1:16" ht="66" customHeight="1" x14ac:dyDescent="0.25">
      <c r="A105" s="944" t="s">
        <v>547</v>
      </c>
      <c r="B105" s="942"/>
      <c r="C105" s="942"/>
      <c r="D105" s="942"/>
      <c r="E105" s="942"/>
      <c r="F105" s="942"/>
      <c r="L105" s="316" t="s">
        <v>457</v>
      </c>
      <c r="M105" s="305"/>
      <c r="N105" s="88"/>
      <c r="O105" s="118">
        <v>35</v>
      </c>
    </row>
    <row r="106" spans="1:16" x14ac:dyDescent="0.25">
      <c r="A106" s="341"/>
      <c r="B106" s="83"/>
      <c r="C106" s="83"/>
      <c r="D106" s="83"/>
      <c r="E106" s="83"/>
      <c r="L106" s="316" t="s">
        <v>458</v>
      </c>
      <c r="M106" s="305"/>
      <c r="N106" s="88"/>
      <c r="O106" s="118">
        <v>35</v>
      </c>
      <c r="P106" s="63">
        <f>SUM(O98:O106)</f>
        <v>1116</v>
      </c>
    </row>
    <row r="107" spans="1:16" ht="52.95" customHeight="1" x14ac:dyDescent="0.25">
      <c r="A107" s="949" t="s">
        <v>548</v>
      </c>
      <c r="B107" s="944"/>
      <c r="C107" s="944"/>
      <c r="D107" s="944"/>
      <c r="E107" s="944"/>
      <c r="F107" s="944"/>
      <c r="L107" s="127" t="s">
        <v>1</v>
      </c>
      <c r="M107" s="305"/>
      <c r="N107" s="88"/>
      <c r="O107" s="137">
        <v>7125</v>
      </c>
    </row>
    <row r="108" spans="1:16" x14ac:dyDescent="0.25">
      <c r="L108" s="127" t="s">
        <v>2</v>
      </c>
      <c r="M108" s="305"/>
      <c r="N108" s="88"/>
      <c r="O108" s="118"/>
    </row>
    <row r="109" spans="1:16" ht="15.75" customHeight="1" x14ac:dyDescent="0.25">
      <c r="A109" s="311" t="s">
        <v>962</v>
      </c>
      <c r="B109" s="83"/>
      <c r="C109" s="83"/>
      <c r="D109" s="83"/>
      <c r="E109" s="83"/>
      <c r="L109" s="316" t="s">
        <v>442</v>
      </c>
      <c r="M109" s="305"/>
      <c r="N109" s="88"/>
      <c r="O109" s="118"/>
    </row>
    <row r="110" spans="1:16" x14ac:dyDescent="0.25">
      <c r="A110" s="680"/>
      <c r="B110" s="472"/>
      <c r="C110" s="379" t="s">
        <v>331</v>
      </c>
      <c r="D110" s="379"/>
      <c r="E110" s="379"/>
      <c r="L110" s="316" t="s">
        <v>444</v>
      </c>
      <c r="M110" s="305"/>
      <c r="N110" s="88"/>
      <c r="O110" s="118">
        <v>0</v>
      </c>
    </row>
    <row r="111" spans="1:16" x14ac:dyDescent="0.25">
      <c r="A111" s="680"/>
      <c r="B111" s="472"/>
      <c r="C111" s="379" t="s">
        <v>332</v>
      </c>
      <c r="D111" s="379" t="s">
        <v>313</v>
      </c>
      <c r="E111" s="379" t="s">
        <v>314</v>
      </c>
      <c r="L111" s="316" t="s">
        <v>31</v>
      </c>
      <c r="M111" s="305"/>
      <c r="N111" s="88"/>
      <c r="O111" s="130">
        <v>8314</v>
      </c>
    </row>
    <row r="112" spans="1:16" x14ac:dyDescent="0.25">
      <c r="A112" s="472" t="s">
        <v>134</v>
      </c>
      <c r="B112" s="491" t="s">
        <v>72</v>
      </c>
      <c r="C112" s="379" t="s">
        <v>408</v>
      </c>
      <c r="D112" s="379" t="s">
        <v>409</v>
      </c>
      <c r="E112" s="379"/>
      <c r="L112" s="316" t="s">
        <v>445</v>
      </c>
      <c r="M112" s="305"/>
      <c r="N112" s="88"/>
      <c r="O112" s="118">
        <v>117</v>
      </c>
      <c r="P112" s="63">
        <f>SUM(O110:O112)</f>
        <v>8431</v>
      </c>
    </row>
    <row r="113" spans="1:16" ht="12.75" customHeight="1" x14ac:dyDescent="0.25">
      <c r="A113" s="680"/>
      <c r="B113" s="472"/>
      <c r="C113" s="379" t="s">
        <v>298</v>
      </c>
      <c r="D113" s="379" t="s">
        <v>298</v>
      </c>
      <c r="E113" s="379" t="s">
        <v>298</v>
      </c>
      <c r="L113" s="316" t="s">
        <v>446</v>
      </c>
      <c r="M113" s="305"/>
      <c r="N113" s="88"/>
      <c r="O113" s="118"/>
    </row>
    <row r="114" spans="1:16" x14ac:dyDescent="0.25">
      <c r="A114" s="127" t="s">
        <v>0</v>
      </c>
      <c r="B114" s="316"/>
      <c r="C114" s="688"/>
      <c r="D114" s="689"/>
      <c r="E114" s="688"/>
      <c r="L114" s="316" t="s">
        <v>447</v>
      </c>
      <c r="M114" s="305"/>
      <c r="N114" s="88"/>
      <c r="O114" s="130">
        <v>3021</v>
      </c>
    </row>
    <row r="115" spans="1:16" ht="12.75" customHeight="1" x14ac:dyDescent="0.25">
      <c r="A115" s="138" t="s">
        <v>405</v>
      </c>
      <c r="B115" s="316"/>
      <c r="C115" s="688"/>
      <c r="D115" s="689"/>
      <c r="E115" s="688"/>
      <c r="L115" s="316" t="s">
        <v>448</v>
      </c>
      <c r="M115" s="305"/>
      <c r="N115" s="88"/>
      <c r="O115" s="118">
        <v>0</v>
      </c>
    </row>
    <row r="116" spans="1:16" x14ac:dyDescent="0.25">
      <c r="A116" s="316" t="s">
        <v>462</v>
      </c>
      <c r="B116" s="305"/>
      <c r="C116" s="634">
        <v>527</v>
      </c>
      <c r="D116" s="638">
        <f>+'6'!H256</f>
        <v>461</v>
      </c>
      <c r="E116" s="690">
        <f>+D116-C116</f>
        <v>-66</v>
      </c>
      <c r="L116" s="316" t="s">
        <v>449</v>
      </c>
      <c r="M116" s="305"/>
      <c r="N116" s="88"/>
      <c r="O116" s="130">
        <v>1315</v>
      </c>
    </row>
    <row r="117" spans="1:16" x14ac:dyDescent="0.25">
      <c r="A117" s="316" t="s">
        <v>463</v>
      </c>
      <c r="B117" s="305"/>
      <c r="C117" s="634">
        <v>0</v>
      </c>
      <c r="D117" s="638">
        <f>+'6'!I256</f>
        <v>0</v>
      </c>
      <c r="E117" s="690">
        <f t="shared" ref="E117:E122" si="5">+D117-C117</f>
        <v>0</v>
      </c>
      <c r="L117" s="316" t="s">
        <v>450</v>
      </c>
      <c r="M117" s="305"/>
      <c r="N117" s="88"/>
      <c r="O117" s="118">
        <v>500</v>
      </c>
      <c r="P117" s="470">
        <f>SUM(O114:O117)</f>
        <v>4836</v>
      </c>
    </row>
    <row r="118" spans="1:16" x14ac:dyDescent="0.25">
      <c r="A118" s="316" t="s">
        <v>202</v>
      </c>
      <c r="B118" s="305"/>
      <c r="C118" s="634">
        <v>0</v>
      </c>
      <c r="D118" s="638">
        <f>+'6'!K256</f>
        <v>0</v>
      </c>
      <c r="E118" s="690">
        <f t="shared" si="5"/>
        <v>0</v>
      </c>
      <c r="L118" s="316" t="s">
        <v>451</v>
      </c>
      <c r="M118" s="305"/>
      <c r="N118" s="88"/>
      <c r="O118" s="118"/>
    </row>
    <row r="119" spans="1:16" x14ac:dyDescent="0.25">
      <c r="A119" s="316" t="s">
        <v>464</v>
      </c>
      <c r="B119" s="305"/>
      <c r="C119" s="634"/>
      <c r="D119" s="638"/>
      <c r="E119" s="690"/>
      <c r="L119" s="316" t="s">
        <v>30</v>
      </c>
      <c r="M119" s="305"/>
      <c r="N119" s="88"/>
      <c r="O119" s="130">
        <v>4950</v>
      </c>
    </row>
    <row r="120" spans="1:16" x14ac:dyDescent="0.25">
      <c r="A120" s="316" t="s">
        <v>465</v>
      </c>
      <c r="B120" s="305"/>
      <c r="C120" s="634">
        <v>0</v>
      </c>
      <c r="D120" s="638">
        <v>0</v>
      </c>
      <c r="E120" s="690">
        <f t="shared" si="5"/>
        <v>0</v>
      </c>
      <c r="L120" s="316" t="s">
        <v>452</v>
      </c>
      <c r="M120" s="305"/>
      <c r="N120" s="88"/>
      <c r="O120" s="118">
        <v>10</v>
      </c>
    </row>
    <row r="121" spans="1:16" ht="12.75" customHeight="1" x14ac:dyDescent="0.25">
      <c r="A121" s="316" t="s">
        <v>466</v>
      </c>
      <c r="B121" s="305"/>
      <c r="C121" s="634">
        <v>105</v>
      </c>
      <c r="D121" s="638">
        <v>95</v>
      </c>
      <c r="E121" s="690">
        <f t="shared" si="5"/>
        <v>-10</v>
      </c>
      <c r="L121" s="316" t="s">
        <v>453</v>
      </c>
      <c r="M121" s="305"/>
      <c r="N121" s="88"/>
      <c r="O121" s="118">
        <v>347</v>
      </c>
    </row>
    <row r="122" spans="1:16" x14ac:dyDescent="0.25">
      <c r="A122" s="316" t="s">
        <v>467</v>
      </c>
      <c r="B122" s="305"/>
      <c r="C122" s="634">
        <v>5851</v>
      </c>
      <c r="D122" s="638">
        <v>3752</v>
      </c>
      <c r="E122" s="690">
        <f t="shared" si="5"/>
        <v>-2099</v>
      </c>
      <c r="L122" s="316" t="s">
        <v>363</v>
      </c>
      <c r="M122" s="305"/>
      <c r="N122" s="88"/>
      <c r="O122" s="130">
        <v>1650</v>
      </c>
    </row>
    <row r="123" spans="1:16" x14ac:dyDescent="0.25">
      <c r="A123" s="316" t="s">
        <v>468</v>
      </c>
      <c r="B123" s="305"/>
      <c r="C123" s="635">
        <v>1107</v>
      </c>
      <c r="D123" s="639">
        <v>2817</v>
      </c>
      <c r="E123" s="691">
        <f>+D123-C123</f>
        <v>1710</v>
      </c>
      <c r="L123" s="316" t="s">
        <v>454</v>
      </c>
      <c r="M123" s="305"/>
      <c r="N123" s="88"/>
      <c r="O123" s="118">
        <v>619</v>
      </c>
    </row>
    <row r="124" spans="1:16" x14ac:dyDescent="0.25">
      <c r="A124" s="127" t="s">
        <v>1</v>
      </c>
      <c r="B124" s="608" t="s">
        <v>963</v>
      </c>
      <c r="C124" s="692">
        <f>SUM(C116:C123)</f>
        <v>7590</v>
      </c>
      <c r="D124" s="402">
        <f>SUM(D116:D123)</f>
        <v>7125</v>
      </c>
      <c r="E124" s="692">
        <f>SUM(E116:E123)</f>
        <v>-465</v>
      </c>
      <c r="L124" s="316" t="s">
        <v>455</v>
      </c>
      <c r="M124" s="305"/>
      <c r="N124" s="88"/>
      <c r="O124" s="118">
        <v>0</v>
      </c>
    </row>
    <row r="125" spans="1:16" x14ac:dyDescent="0.25">
      <c r="A125" s="127"/>
      <c r="B125" s="608"/>
      <c r="C125" s="693"/>
      <c r="D125" s="385"/>
      <c r="E125" s="694"/>
      <c r="L125" s="316" t="s">
        <v>456</v>
      </c>
      <c r="M125" s="305"/>
      <c r="N125" s="88"/>
      <c r="O125" s="130">
        <v>2564</v>
      </c>
    </row>
    <row r="126" spans="1:16" x14ac:dyDescent="0.25">
      <c r="A126" s="127" t="s">
        <v>2</v>
      </c>
      <c r="B126" s="608"/>
      <c r="C126" s="634"/>
      <c r="D126" s="391"/>
      <c r="E126" s="695"/>
      <c r="L126" s="316" t="s">
        <v>457</v>
      </c>
      <c r="M126" s="305"/>
      <c r="N126" s="88"/>
      <c r="O126" s="118">
        <v>80</v>
      </c>
    </row>
    <row r="127" spans="1:16" x14ac:dyDescent="0.25">
      <c r="A127" s="138" t="s">
        <v>405</v>
      </c>
      <c r="B127" s="608"/>
      <c r="C127" s="688"/>
      <c r="D127" s="689"/>
      <c r="E127" s="695"/>
      <c r="L127" s="316" t="s">
        <v>458</v>
      </c>
      <c r="M127" s="305"/>
      <c r="N127" s="88"/>
      <c r="O127" s="118">
        <v>105</v>
      </c>
      <c r="P127" s="470">
        <f>SUM(O119:O127)</f>
        <v>10325</v>
      </c>
    </row>
    <row r="128" spans="1:16" x14ac:dyDescent="0.25">
      <c r="A128" s="316" t="s">
        <v>462</v>
      </c>
      <c r="B128" s="608" t="s">
        <v>964</v>
      </c>
      <c r="C128" s="634">
        <v>2376</v>
      </c>
      <c r="D128" s="638">
        <f>+'6'!H153</f>
        <v>5816</v>
      </c>
      <c r="E128" s="690">
        <f>+D128-C128</f>
        <v>3440</v>
      </c>
      <c r="L128" s="127" t="s">
        <v>32</v>
      </c>
      <c r="M128" s="305"/>
      <c r="N128" s="88"/>
      <c r="O128" s="137">
        <v>23592</v>
      </c>
    </row>
    <row r="129" spans="1:15" x14ac:dyDescent="0.25">
      <c r="A129" s="316" t="s">
        <v>463</v>
      </c>
      <c r="B129" s="608"/>
      <c r="C129" s="634">
        <v>0</v>
      </c>
      <c r="D129" s="638">
        <f>+'6'!I153</f>
        <v>0</v>
      </c>
      <c r="E129" s="690">
        <f>+D129-C129</f>
        <v>0</v>
      </c>
    </row>
    <row r="130" spans="1:15" x14ac:dyDescent="0.25">
      <c r="A130" s="316" t="s">
        <v>202</v>
      </c>
      <c r="B130" s="608"/>
      <c r="C130" s="634">
        <v>0</v>
      </c>
      <c r="D130" s="638">
        <f>+'6'!K153</f>
        <v>0</v>
      </c>
      <c r="E130" s="690">
        <f>+D130-C130</f>
        <v>0</v>
      </c>
    </row>
    <row r="131" spans="1:15" x14ac:dyDescent="0.25">
      <c r="A131" s="316" t="s">
        <v>464</v>
      </c>
      <c r="B131" s="608"/>
      <c r="C131" s="634"/>
      <c r="D131" s="638"/>
      <c r="E131" s="695"/>
    </row>
    <row r="132" spans="1:15" x14ac:dyDescent="0.25">
      <c r="A132" s="316" t="s">
        <v>465</v>
      </c>
      <c r="B132" s="608" t="s">
        <v>965</v>
      </c>
      <c r="C132" s="634">
        <v>8589</v>
      </c>
      <c r="D132" s="638">
        <v>8870</v>
      </c>
      <c r="E132" s="690">
        <f>+D132-C132</f>
        <v>281</v>
      </c>
    </row>
    <row r="133" spans="1:15" x14ac:dyDescent="0.25">
      <c r="A133" s="316" t="s">
        <v>466</v>
      </c>
      <c r="B133" s="608" t="s">
        <v>966</v>
      </c>
      <c r="C133" s="634">
        <v>1024</v>
      </c>
      <c r="D133" s="638">
        <v>1586</v>
      </c>
      <c r="E133" s="690">
        <f>+D133-C133</f>
        <v>562</v>
      </c>
    </row>
    <row r="134" spans="1:15" x14ac:dyDescent="0.25">
      <c r="A134" s="316" t="s">
        <v>467</v>
      </c>
      <c r="B134" s="608" t="s">
        <v>967</v>
      </c>
      <c r="C134" s="634">
        <v>1826</v>
      </c>
      <c r="D134" s="638">
        <v>6596</v>
      </c>
      <c r="E134" s="690">
        <f>+D134-C134</f>
        <v>4770</v>
      </c>
      <c r="L134" s="127" t="s">
        <v>0</v>
      </c>
      <c r="M134" s="316"/>
      <c r="N134" s="316"/>
      <c r="O134" s="135"/>
    </row>
    <row r="135" spans="1:15" x14ac:dyDescent="0.25">
      <c r="A135" s="316" t="s">
        <v>468</v>
      </c>
      <c r="B135" s="608" t="s">
        <v>968</v>
      </c>
      <c r="C135" s="635">
        <v>1212</v>
      </c>
      <c r="D135" s="639">
        <v>724</v>
      </c>
      <c r="E135" s="691">
        <f>+D135-C135</f>
        <v>-488</v>
      </c>
      <c r="L135" s="138" t="s">
        <v>405</v>
      </c>
      <c r="M135" s="316"/>
      <c r="N135" s="316"/>
      <c r="O135" s="135"/>
    </row>
    <row r="136" spans="1:15" x14ac:dyDescent="0.25">
      <c r="A136" s="127" t="s">
        <v>32</v>
      </c>
      <c r="B136" s="72"/>
      <c r="C136" s="692">
        <f>SUM(C128:C135)</f>
        <v>15027</v>
      </c>
      <c r="D136" s="402">
        <f>SUM(D128:D135)</f>
        <v>23592</v>
      </c>
      <c r="E136" s="692">
        <f>SUM(E128:E135)</f>
        <v>8565</v>
      </c>
      <c r="L136" s="316" t="s">
        <v>462</v>
      </c>
      <c r="M136" s="305"/>
      <c r="N136" s="88">
        <v>527</v>
      </c>
      <c r="O136" s="118">
        <v>461</v>
      </c>
    </row>
    <row r="137" spans="1:15" x14ac:dyDescent="0.25">
      <c r="A137" s="132" t="s">
        <v>29</v>
      </c>
      <c r="B137" s="71"/>
      <c r="C137" s="692">
        <f>SUM(C124,C136)</f>
        <v>22617</v>
      </c>
      <c r="D137" s="402">
        <f>SUM(D124,D136)</f>
        <v>30717</v>
      </c>
      <c r="E137" s="692">
        <f>SUM(E124,E136)</f>
        <v>8100</v>
      </c>
      <c r="L137" s="316" t="s">
        <v>463</v>
      </c>
      <c r="M137" s="305"/>
      <c r="N137" s="88" t="s">
        <v>148</v>
      </c>
      <c r="O137" s="118" t="s">
        <v>148</v>
      </c>
    </row>
    <row r="138" spans="1:15" x14ac:dyDescent="0.25">
      <c r="A138" s="140"/>
      <c r="B138" s="70"/>
      <c r="C138" s="141"/>
      <c r="D138" s="142"/>
      <c r="E138" s="143"/>
      <c r="L138" s="316" t="s">
        <v>202</v>
      </c>
      <c r="M138" s="305"/>
      <c r="N138" s="88" t="s">
        <v>148</v>
      </c>
      <c r="O138" s="118" t="s">
        <v>148</v>
      </c>
    </row>
    <row r="139" spans="1:15" ht="155.25" customHeight="1" x14ac:dyDescent="0.25">
      <c r="A139" s="341"/>
      <c r="B139" s="83"/>
      <c r="C139" s="83"/>
      <c r="D139" s="83"/>
      <c r="E139" s="83"/>
      <c r="H139" s="676" t="s">
        <v>78</v>
      </c>
      <c r="I139" s="677" t="s">
        <v>462</v>
      </c>
      <c r="J139" s="679">
        <f>O136+O148</f>
        <v>6277</v>
      </c>
      <c r="K139" s="677"/>
      <c r="L139" s="316" t="s">
        <v>464</v>
      </c>
      <c r="M139" s="305"/>
      <c r="N139" s="88"/>
      <c r="O139" s="118"/>
    </row>
    <row r="140" spans="1:15" ht="13.8" x14ac:dyDescent="0.25">
      <c r="A140" s="144"/>
      <c r="B140" s="83"/>
      <c r="C140" s="83"/>
      <c r="D140" s="83"/>
      <c r="E140" s="83"/>
      <c r="H140" s="676"/>
      <c r="I140" s="677" t="s">
        <v>463</v>
      </c>
      <c r="J140" s="679">
        <v>0</v>
      </c>
      <c r="K140" s="677"/>
      <c r="L140" s="316" t="s">
        <v>465</v>
      </c>
      <c r="M140" s="305"/>
      <c r="N140" s="88" t="s">
        <v>148</v>
      </c>
      <c r="O140" s="118">
        <v>0</v>
      </c>
    </row>
    <row r="141" spans="1:15" ht="13.8" x14ac:dyDescent="0.25">
      <c r="A141" s="341"/>
      <c r="B141" s="83"/>
      <c r="C141" s="83"/>
      <c r="D141" s="83"/>
      <c r="E141" s="83"/>
      <c r="H141" s="677" t="s">
        <v>42</v>
      </c>
      <c r="I141" s="677" t="s">
        <v>28</v>
      </c>
      <c r="J141" s="679">
        <f>O140+O153</f>
        <v>8870</v>
      </c>
      <c r="K141" s="677"/>
      <c r="L141" s="316" t="s">
        <v>466</v>
      </c>
      <c r="M141" s="305"/>
      <c r="N141" s="88">
        <v>105</v>
      </c>
      <c r="O141" s="118">
        <v>95</v>
      </c>
    </row>
    <row r="142" spans="1:15" ht="13.8" x14ac:dyDescent="0.25">
      <c r="A142" s="952" t="s">
        <v>969</v>
      </c>
      <c r="B142" s="952"/>
      <c r="C142" s="952"/>
      <c r="D142" s="952"/>
      <c r="E142" s="952"/>
      <c r="F142" s="952"/>
      <c r="I142" s="677" t="s">
        <v>26</v>
      </c>
      <c r="J142" s="679">
        <f>O141+O154</f>
        <v>1681</v>
      </c>
      <c r="K142" s="677"/>
      <c r="L142" s="316" t="s">
        <v>467</v>
      </c>
      <c r="M142" s="305"/>
      <c r="N142" s="90">
        <v>5851</v>
      </c>
      <c r="O142" s="130">
        <v>3752</v>
      </c>
    </row>
    <row r="143" spans="1:15" ht="66" customHeight="1" thickBot="1" x14ac:dyDescent="0.3">
      <c r="A143" s="944" t="s">
        <v>1167</v>
      </c>
      <c r="B143" s="944"/>
      <c r="C143" s="944"/>
      <c r="D143" s="944"/>
      <c r="E143" s="944"/>
      <c r="F143" s="944"/>
      <c r="I143" s="677" t="s">
        <v>27</v>
      </c>
      <c r="J143" s="679">
        <f>O142+O155</f>
        <v>10348</v>
      </c>
      <c r="K143" s="677"/>
      <c r="L143" s="316" t="s">
        <v>468</v>
      </c>
      <c r="M143" s="305"/>
      <c r="N143" s="90">
        <v>1107</v>
      </c>
      <c r="O143" s="130">
        <v>2817</v>
      </c>
    </row>
    <row r="144" spans="1:15" ht="14.4" thickBot="1" x14ac:dyDescent="0.3">
      <c r="A144" s="341"/>
      <c r="B144" s="83"/>
      <c r="C144" s="83"/>
      <c r="D144" s="83"/>
      <c r="E144" s="83"/>
      <c r="I144" s="677" t="s">
        <v>37</v>
      </c>
      <c r="J144" s="470">
        <f>O143+O156</f>
        <v>3541</v>
      </c>
      <c r="K144" s="677"/>
      <c r="L144" s="127" t="s">
        <v>1</v>
      </c>
      <c r="M144" s="305" t="s">
        <v>963</v>
      </c>
      <c r="N144" s="145">
        <v>7590</v>
      </c>
      <c r="O144" s="146">
        <v>7125</v>
      </c>
    </row>
    <row r="145" spans="1:15" x14ac:dyDescent="0.25">
      <c r="A145" s="952" t="s">
        <v>970</v>
      </c>
      <c r="B145" s="952"/>
      <c r="C145" s="952"/>
      <c r="D145" s="952"/>
      <c r="E145" s="952"/>
      <c r="F145" s="952"/>
      <c r="L145" s="127"/>
      <c r="M145" s="305"/>
      <c r="N145" s="147"/>
      <c r="O145" s="148"/>
    </row>
    <row r="146" spans="1:15" ht="52.95" customHeight="1" x14ac:dyDescent="0.25">
      <c r="A146" s="944" t="s">
        <v>549</v>
      </c>
      <c r="B146" s="944"/>
      <c r="C146" s="944"/>
      <c r="D146" s="944"/>
      <c r="E146" s="944"/>
      <c r="F146" s="944"/>
      <c r="L146" s="127" t="s">
        <v>2</v>
      </c>
      <c r="M146" s="305"/>
      <c r="N146" s="88"/>
      <c r="O146" s="139"/>
    </row>
    <row r="147" spans="1:15" x14ac:dyDescent="0.25">
      <c r="A147" s="341"/>
      <c r="B147" s="83"/>
      <c r="C147" s="83"/>
      <c r="D147" s="83"/>
      <c r="E147" s="83"/>
      <c r="L147" s="138" t="s">
        <v>405</v>
      </c>
      <c r="M147" s="316"/>
      <c r="N147" s="316"/>
      <c r="O147" s="135"/>
    </row>
    <row r="148" spans="1:15" x14ac:dyDescent="0.25">
      <c r="A148" s="311" t="s">
        <v>971</v>
      </c>
      <c r="B148" s="83"/>
      <c r="C148" s="83"/>
      <c r="D148" s="83"/>
      <c r="E148" s="83"/>
      <c r="F148" s="83"/>
      <c r="L148" s="316" t="s">
        <v>462</v>
      </c>
      <c r="M148" s="305" t="s">
        <v>964</v>
      </c>
      <c r="N148" s="90">
        <v>2376</v>
      </c>
      <c r="O148" s="130">
        <v>5816</v>
      </c>
    </row>
    <row r="149" spans="1:15" ht="38.25" customHeight="1" x14ac:dyDescent="0.25">
      <c r="A149" s="944" t="s">
        <v>1388</v>
      </c>
      <c r="B149" s="944"/>
      <c r="C149" s="944"/>
      <c r="D149" s="944"/>
      <c r="E149" s="944"/>
      <c r="F149" s="944"/>
      <c r="L149" s="316" t="s">
        <v>463</v>
      </c>
      <c r="M149" s="305"/>
      <c r="N149" s="88" t="s">
        <v>148</v>
      </c>
      <c r="O149" s="118" t="s">
        <v>148</v>
      </c>
    </row>
    <row r="150" spans="1:15" x14ac:dyDescent="0.25">
      <c r="A150" s="304"/>
      <c r="B150" s="304"/>
      <c r="C150" s="304"/>
      <c r="D150" s="304"/>
      <c r="E150" s="304"/>
      <c r="F150" s="304"/>
      <c r="L150" s="316"/>
      <c r="M150" s="305"/>
      <c r="N150" s="88"/>
      <c r="O150" s="118"/>
    </row>
    <row r="151" spans="1:15" x14ac:dyDescent="0.25">
      <c r="A151" s="311" t="s">
        <v>1169</v>
      </c>
      <c r="B151" s="83"/>
      <c r="C151" s="83"/>
      <c r="D151" s="83"/>
      <c r="E151" s="83"/>
      <c r="F151" s="83"/>
      <c r="L151" s="316" t="s">
        <v>202</v>
      </c>
      <c r="M151" s="305"/>
      <c r="N151" s="88" t="s">
        <v>148</v>
      </c>
      <c r="O151" s="118" t="s">
        <v>148</v>
      </c>
    </row>
    <row r="152" spans="1:15" ht="26.4" customHeight="1" x14ac:dyDescent="0.25">
      <c r="A152" s="1111" t="s">
        <v>199</v>
      </c>
      <c r="B152" s="1111"/>
      <c r="C152" s="1111"/>
      <c r="D152" s="1111"/>
      <c r="E152" s="1111"/>
      <c r="F152" s="1111"/>
      <c r="L152" s="316" t="s">
        <v>464</v>
      </c>
      <c r="M152" s="305"/>
      <c r="N152" s="88"/>
      <c r="O152" s="118"/>
    </row>
    <row r="153" spans="1:15" x14ac:dyDescent="0.25">
      <c r="A153" s="320"/>
      <c r="B153" s="320"/>
      <c r="C153" s="320"/>
      <c r="D153" s="320"/>
      <c r="E153" s="320"/>
      <c r="F153" s="320"/>
      <c r="L153" s="316" t="s">
        <v>465</v>
      </c>
      <c r="M153" s="305" t="s">
        <v>965</v>
      </c>
      <c r="N153" s="90">
        <v>8589</v>
      </c>
      <c r="O153" s="130">
        <v>8870</v>
      </c>
    </row>
    <row r="154" spans="1:15" x14ac:dyDescent="0.25">
      <c r="A154" s="311" t="s">
        <v>1389</v>
      </c>
      <c r="B154" s="83"/>
      <c r="C154" s="83"/>
      <c r="D154" s="83"/>
      <c r="E154" s="83"/>
      <c r="F154" s="83"/>
      <c r="L154" s="316" t="s">
        <v>466</v>
      </c>
      <c r="M154" s="305" t="s">
        <v>966</v>
      </c>
      <c r="N154" s="90">
        <v>1024</v>
      </c>
      <c r="O154" s="130">
        <v>1586</v>
      </c>
    </row>
    <row r="155" spans="1:15" ht="63.75" customHeight="1" x14ac:dyDescent="0.25">
      <c r="A155" s="944" t="s">
        <v>1390</v>
      </c>
      <c r="B155" s="944"/>
      <c r="C155" s="944"/>
      <c r="D155" s="944"/>
      <c r="E155" s="944"/>
      <c r="F155" s="944"/>
      <c r="L155" s="316" t="s">
        <v>467</v>
      </c>
      <c r="M155" s="305" t="s">
        <v>967</v>
      </c>
      <c r="N155" s="90">
        <v>1826</v>
      </c>
      <c r="O155" s="130">
        <v>6596</v>
      </c>
    </row>
    <row r="156" spans="1:15" ht="13.8" thickBot="1" x14ac:dyDescent="0.3">
      <c r="A156" s="341"/>
      <c r="B156" s="83"/>
      <c r="C156" s="83"/>
      <c r="D156" s="83"/>
      <c r="E156" s="83"/>
      <c r="F156" s="83"/>
      <c r="L156" s="316" t="s">
        <v>468</v>
      </c>
      <c r="M156" s="305" t="s">
        <v>968</v>
      </c>
      <c r="N156" s="90">
        <v>1212</v>
      </c>
      <c r="O156" s="118">
        <v>724</v>
      </c>
    </row>
    <row r="157" spans="1:15" ht="13.8" thickBot="1" x14ac:dyDescent="0.3">
      <c r="A157" s="311" t="s">
        <v>972</v>
      </c>
      <c r="B157" s="83"/>
      <c r="C157" s="83"/>
      <c r="D157" s="83"/>
      <c r="E157" s="83"/>
      <c r="F157" s="83"/>
      <c r="L157" s="127" t="s">
        <v>32</v>
      </c>
      <c r="M157" s="316"/>
      <c r="N157" s="149">
        <v>15027</v>
      </c>
      <c r="O157" s="150">
        <v>23592</v>
      </c>
    </row>
    <row r="158" spans="1:15" ht="52.95" customHeight="1" thickBot="1" x14ac:dyDescent="0.3">
      <c r="A158" s="944" t="s">
        <v>1168</v>
      </c>
      <c r="B158" s="944"/>
      <c r="C158" s="944"/>
      <c r="D158" s="944"/>
      <c r="E158" s="944"/>
      <c r="F158" s="944"/>
      <c r="L158" s="92" t="s">
        <v>29</v>
      </c>
      <c r="M158" s="89"/>
      <c r="N158" s="91">
        <v>22617</v>
      </c>
      <c r="O158" s="151">
        <v>30717</v>
      </c>
    </row>
    <row r="159" spans="1:15" ht="75.75" customHeight="1" x14ac:dyDescent="0.25"/>
    <row r="160" spans="1:15" ht="12.75" customHeight="1" x14ac:dyDescent="0.25"/>
    <row r="161" ht="12.75" customHeight="1" x14ac:dyDescent="0.25"/>
    <row r="162" ht="27" customHeight="1" x14ac:dyDescent="0.25"/>
    <row r="163" ht="12.75" customHeight="1" x14ac:dyDescent="0.25"/>
    <row r="165" ht="82.5" customHeight="1" x14ac:dyDescent="0.25"/>
    <row r="168" ht="53.25" customHeight="1" x14ac:dyDescent="0.25"/>
  </sheetData>
  <mergeCells count="24">
    <mergeCell ref="A143:F143"/>
    <mergeCell ref="A100:F100"/>
    <mergeCell ref="A105:F105"/>
    <mergeCell ref="A104:F104"/>
    <mergeCell ref="A1:F1"/>
    <mergeCell ref="A3:F3"/>
    <mergeCell ref="A84:F84"/>
    <mergeCell ref="A142:F142"/>
    <mergeCell ref="A152:F152"/>
    <mergeCell ref="A5:F5"/>
    <mergeCell ref="A158:F158"/>
    <mergeCell ref="A86:F86"/>
    <mergeCell ref="A87:F87"/>
    <mergeCell ref="A155:F155"/>
    <mergeCell ref="A149:F149"/>
    <mergeCell ref="A102:F102"/>
    <mergeCell ref="A145:F145"/>
    <mergeCell ref="A146:F146"/>
    <mergeCell ref="A89:F89"/>
    <mergeCell ref="A92:F92"/>
    <mergeCell ref="A90:F90"/>
    <mergeCell ref="A95:F95"/>
    <mergeCell ref="A97:F97"/>
    <mergeCell ref="A107:F107"/>
  </mergeCells>
  <phoneticPr fontId="11" type="noConversion"/>
  <pageMargins left="0.74803149606299213" right="0.74803149606299213" top="0.98425196850393704" bottom="0.98425196850393704" header="0.51181102362204722" footer="0.51181102362204722"/>
  <pageSetup paperSize="9" firstPageNumber="64" orientation="portrait" useFirstPageNumber="1" r:id="rId1"/>
  <headerFooter alignWithMargins="0">
    <oddFooter>&amp;L&amp;8Chartered Accountants Australia New Zealand&amp;C&amp;9&amp;P&amp;R&amp;8VICTORIAN CITY COUNCIL</oddFooter>
  </headerFooter>
  <rowBreaks count="3" manualBreakCount="3">
    <brk id="41" max="5" man="1"/>
    <brk id="85" max="5" man="1"/>
    <brk id="103" max="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view="pageBreakPreview" topLeftCell="A34" zoomScaleNormal="100" zoomScaleSheetLayoutView="100" workbookViewId="0">
      <selection activeCell="A40" sqref="A40"/>
    </sheetView>
  </sheetViews>
  <sheetFormatPr defaultColWidth="9.109375" defaultRowHeight="13.2" x14ac:dyDescent="0.25"/>
  <cols>
    <col min="1" max="1" width="32" style="556" customWidth="1"/>
    <col min="2" max="2" width="9.109375" style="554" customWidth="1"/>
    <col min="3" max="5" width="12" style="554" customWidth="1"/>
    <col min="6" max="6" width="11" style="554" customWidth="1"/>
    <col min="7" max="7" width="10.5546875" style="268" customWidth="1"/>
    <col min="8" max="8" width="10" style="268" customWidth="1"/>
    <col min="9" max="16384" width="9.109375" style="268"/>
  </cols>
  <sheetData>
    <row r="1" spans="1:6" ht="16.8" x14ac:dyDescent="0.3">
      <c r="A1" s="330" t="s">
        <v>973</v>
      </c>
      <c r="B1" s="587"/>
      <c r="C1" s="587"/>
      <c r="D1" s="587"/>
      <c r="E1" s="587"/>
      <c r="F1" s="587"/>
    </row>
    <row r="2" spans="1:6" x14ac:dyDescent="0.25">
      <c r="A2" s="201"/>
      <c r="B2" s="201"/>
      <c r="C2" s="201"/>
      <c r="D2" s="201"/>
      <c r="E2" s="201"/>
    </row>
    <row r="3" spans="1:6" ht="25.5" customHeight="1" x14ac:dyDescent="0.25">
      <c r="A3" s="944" t="s">
        <v>1391</v>
      </c>
      <c r="B3" s="944"/>
      <c r="C3" s="944"/>
      <c r="D3" s="944"/>
      <c r="E3" s="944"/>
      <c r="F3" s="944"/>
    </row>
    <row r="4" spans="1:6" ht="12.75" customHeight="1" x14ac:dyDescent="0.25">
      <c r="A4" s="201"/>
      <c r="B4" s="201"/>
      <c r="C4" s="201"/>
      <c r="D4" s="201"/>
      <c r="E4" s="201"/>
    </row>
    <row r="5" spans="1:6" x14ac:dyDescent="0.25">
      <c r="A5" s="15" t="s">
        <v>974</v>
      </c>
      <c r="B5" s="201"/>
      <c r="C5" s="201"/>
      <c r="D5" s="201"/>
      <c r="E5" s="201"/>
    </row>
    <row r="6" spans="1:6" x14ac:dyDescent="0.25">
      <c r="A6" s="674"/>
      <c r="B6" s="434"/>
      <c r="C6" s="380" t="s">
        <v>331</v>
      </c>
      <c r="D6" s="380"/>
      <c r="E6" s="380"/>
    </row>
    <row r="7" spans="1:6" x14ac:dyDescent="0.25">
      <c r="A7" s="674"/>
      <c r="B7" s="434"/>
      <c r="C7" s="380" t="s">
        <v>332</v>
      </c>
      <c r="D7" s="380" t="s">
        <v>313</v>
      </c>
      <c r="E7" s="380" t="s">
        <v>314</v>
      </c>
    </row>
    <row r="8" spans="1:6" x14ac:dyDescent="0.25">
      <c r="A8" s="434"/>
      <c r="B8" s="658" t="s">
        <v>72</v>
      </c>
      <c r="C8" s="380">
        <v>2017</v>
      </c>
      <c r="D8" s="380">
        <v>2018</v>
      </c>
      <c r="E8" s="380"/>
    </row>
    <row r="9" spans="1:6" x14ac:dyDescent="0.25">
      <c r="A9" s="674"/>
      <c r="B9" s="434"/>
      <c r="C9" s="380" t="s">
        <v>298</v>
      </c>
      <c r="D9" s="380" t="s">
        <v>298</v>
      </c>
      <c r="E9" s="380" t="s">
        <v>298</v>
      </c>
    </row>
    <row r="10" spans="1:6" x14ac:dyDescent="0.25">
      <c r="A10" s="15" t="s">
        <v>43</v>
      </c>
      <c r="B10" s="704" t="s">
        <v>975</v>
      </c>
      <c r="C10" s="699"/>
      <c r="D10" s="476"/>
      <c r="E10" s="699"/>
    </row>
    <row r="11" spans="1:6" x14ac:dyDescent="0.25">
      <c r="A11" s="893" t="s">
        <v>44</v>
      </c>
      <c r="B11" s="704"/>
      <c r="C11" s="700">
        <f>+'3'!C83</f>
        <v>23476</v>
      </c>
      <c r="D11" s="476">
        <f>+'3'!D83</f>
        <v>12207</v>
      </c>
      <c r="E11" s="700">
        <f>+D11-C11</f>
        <v>-11269</v>
      </c>
    </row>
    <row r="12" spans="1:6" x14ac:dyDescent="0.25">
      <c r="A12" s="201" t="s">
        <v>45</v>
      </c>
      <c r="B12" s="704"/>
      <c r="C12" s="700">
        <f>+'3'!C84</f>
        <v>5272</v>
      </c>
      <c r="D12" s="476">
        <f>+'3'!D84</f>
        <v>5367</v>
      </c>
      <c r="E12" s="700">
        <f>+D12-C12</f>
        <v>95</v>
      </c>
    </row>
    <row r="13" spans="1:6" x14ac:dyDescent="0.25">
      <c r="A13" s="201" t="s">
        <v>46</v>
      </c>
      <c r="B13" s="704"/>
      <c r="C13" s="700">
        <f>+'3'!C85</f>
        <v>6</v>
      </c>
      <c r="D13" s="476">
        <f>+'3'!D85</f>
        <v>6</v>
      </c>
      <c r="E13" s="700">
        <f>+D13-C13</f>
        <v>0</v>
      </c>
    </row>
    <row r="14" spans="1:6" x14ac:dyDescent="0.25">
      <c r="A14" s="201" t="s">
        <v>232</v>
      </c>
      <c r="B14" s="704"/>
      <c r="C14" s="701">
        <f>+'3'!C86+'3'!C87+'3'!C88</f>
        <v>1440</v>
      </c>
      <c r="D14" s="479">
        <f>+'3'!D86+'3'!D87+'3'!D88</f>
        <v>200</v>
      </c>
      <c r="E14" s="701">
        <f>+D14-C14</f>
        <v>-1240</v>
      </c>
    </row>
    <row r="15" spans="1:6" x14ac:dyDescent="0.25">
      <c r="A15" s="15" t="s">
        <v>47</v>
      </c>
      <c r="B15" s="705"/>
      <c r="C15" s="702">
        <f>SUM(C11:C14)</f>
        <v>30194</v>
      </c>
      <c r="D15" s="482">
        <f>SUM(D11:D14)</f>
        <v>17780</v>
      </c>
      <c r="E15" s="700">
        <f>SUM(E11:E14)</f>
        <v>-12414</v>
      </c>
    </row>
    <row r="16" spans="1:6" x14ac:dyDescent="0.25">
      <c r="A16" s="201"/>
      <c r="B16" s="704"/>
      <c r="C16" s="702"/>
      <c r="D16" s="476"/>
      <c r="E16" s="700"/>
    </row>
    <row r="17" spans="1:5" x14ac:dyDescent="0.25">
      <c r="A17" s="15" t="s">
        <v>48</v>
      </c>
      <c r="B17" s="704" t="s">
        <v>975</v>
      </c>
      <c r="C17" s="699"/>
      <c r="D17" s="476"/>
      <c r="E17" s="699"/>
    </row>
    <row r="18" spans="1:5" x14ac:dyDescent="0.25">
      <c r="A18" s="201" t="s">
        <v>45</v>
      </c>
      <c r="B18" s="704"/>
      <c r="C18" s="700">
        <f>+'3'!C92</f>
        <v>206</v>
      </c>
      <c r="D18" s="476">
        <f>+'3'!D92</f>
        <v>12</v>
      </c>
      <c r="E18" s="700">
        <f>+D18-C18</f>
        <v>-194</v>
      </c>
    </row>
    <row r="19" spans="1:5" x14ac:dyDescent="0.25">
      <c r="A19" s="201" t="s">
        <v>49</v>
      </c>
      <c r="B19" s="704"/>
      <c r="C19" s="701">
        <f>+'3'!C94</f>
        <v>501795</v>
      </c>
      <c r="D19" s="479">
        <f>+'3'!D94</f>
        <v>514527</v>
      </c>
      <c r="E19" s="701">
        <f>+D19-C19</f>
        <v>12732</v>
      </c>
    </row>
    <row r="20" spans="1:5" x14ac:dyDescent="0.25">
      <c r="A20" s="15" t="s">
        <v>50</v>
      </c>
      <c r="B20" s="705"/>
      <c r="C20" s="703">
        <f>SUM(C18:C19)</f>
        <v>502001</v>
      </c>
      <c r="D20" s="664">
        <f>SUM(D18:D19)</f>
        <v>514539</v>
      </c>
      <c r="E20" s="701">
        <f>SUM(E18:E19)</f>
        <v>12538</v>
      </c>
    </row>
    <row r="21" spans="1:5" x14ac:dyDescent="0.25">
      <c r="A21" s="9" t="s">
        <v>51</v>
      </c>
      <c r="B21" s="704"/>
      <c r="C21" s="702">
        <f>+C20+C15</f>
        <v>532195</v>
      </c>
      <c r="D21" s="482">
        <f>+D20+D15</f>
        <v>532319</v>
      </c>
      <c r="E21" s="700">
        <f>+E20+E15</f>
        <v>124</v>
      </c>
    </row>
    <row r="22" spans="1:5" x14ac:dyDescent="0.25">
      <c r="A22" s="201"/>
      <c r="B22" s="704"/>
      <c r="C22" s="700"/>
      <c r="D22" s="476"/>
      <c r="E22" s="700"/>
    </row>
    <row r="23" spans="1:5" x14ac:dyDescent="0.25">
      <c r="A23" s="15" t="s">
        <v>52</v>
      </c>
      <c r="B23" s="704" t="s">
        <v>976</v>
      </c>
      <c r="C23" s="700"/>
      <c r="D23" s="476"/>
      <c r="E23" s="700"/>
    </row>
    <row r="24" spans="1:5" x14ac:dyDescent="0.25">
      <c r="A24" s="201" t="s">
        <v>53</v>
      </c>
      <c r="B24" s="704"/>
      <c r="C24" s="700">
        <f>+'3'!C102</f>
        <v>5880</v>
      </c>
      <c r="D24" s="476">
        <f>+'3'!D102</f>
        <v>5880</v>
      </c>
      <c r="E24" s="700">
        <f>+C24-D24</f>
        <v>0</v>
      </c>
    </row>
    <row r="25" spans="1:5" x14ac:dyDescent="0.25">
      <c r="A25" s="201" t="s">
        <v>55</v>
      </c>
      <c r="B25" s="704"/>
      <c r="C25" s="700">
        <f>+'3'!C104</f>
        <v>5510</v>
      </c>
      <c r="D25" s="476">
        <f>+'3'!D104</f>
        <v>5714</v>
      </c>
      <c r="E25" s="700">
        <f>+C25-D25</f>
        <v>-204</v>
      </c>
    </row>
    <row r="26" spans="1:5" x14ac:dyDescent="0.25">
      <c r="A26" s="201" t="s">
        <v>54</v>
      </c>
      <c r="B26" s="704"/>
      <c r="C26" s="701">
        <f>+'3'!C105</f>
        <v>1161</v>
      </c>
      <c r="D26" s="479">
        <f>+'3'!D105</f>
        <v>1161</v>
      </c>
      <c r="E26" s="701">
        <f>+C26-D26</f>
        <v>0</v>
      </c>
    </row>
    <row r="27" spans="1:5" x14ac:dyDescent="0.25">
      <c r="A27" s="15" t="s">
        <v>56</v>
      </c>
      <c r="B27" s="705"/>
      <c r="C27" s="702">
        <f>SUM(C24:C26)</f>
        <v>12551</v>
      </c>
      <c r="D27" s="482">
        <f>SUM(D24:D26)</f>
        <v>12755</v>
      </c>
      <c r="E27" s="700">
        <f>SUM(E24:E26)</f>
        <v>-204</v>
      </c>
    </row>
    <row r="28" spans="1:5" x14ac:dyDescent="0.25">
      <c r="A28" s="201"/>
      <c r="B28" s="704"/>
      <c r="C28" s="700"/>
      <c r="D28" s="476"/>
      <c r="E28" s="700"/>
    </row>
    <row r="29" spans="1:5" x14ac:dyDescent="0.25">
      <c r="A29" s="15" t="s">
        <v>57</v>
      </c>
      <c r="B29" s="704" t="s">
        <v>976</v>
      </c>
      <c r="C29" s="700"/>
      <c r="D29" s="476"/>
      <c r="E29" s="700"/>
    </row>
    <row r="30" spans="1:5" x14ac:dyDescent="0.25">
      <c r="A30" s="201" t="s">
        <v>55</v>
      </c>
      <c r="B30" s="704"/>
      <c r="C30" s="700">
        <f>+'3'!C109</f>
        <v>972</v>
      </c>
      <c r="D30" s="476">
        <f>+'3'!D109</f>
        <v>1008</v>
      </c>
      <c r="E30" s="700">
        <f>+C30-D30</f>
        <v>-36</v>
      </c>
    </row>
    <row r="31" spans="1:5" x14ac:dyDescent="0.25">
      <c r="A31" s="201" t="s">
        <v>54</v>
      </c>
      <c r="B31" s="704"/>
      <c r="C31" s="701">
        <f>+'3'!C110</f>
        <v>4887</v>
      </c>
      <c r="D31" s="479">
        <f>+'3'!D110</f>
        <v>3726</v>
      </c>
      <c r="E31" s="701">
        <f>+C31-D31</f>
        <v>1161</v>
      </c>
    </row>
    <row r="32" spans="1:5" x14ac:dyDescent="0.25">
      <c r="A32" s="15" t="s">
        <v>58</v>
      </c>
      <c r="B32" s="705"/>
      <c r="C32" s="703">
        <f>SUM(C30:C31)</f>
        <v>5859</v>
      </c>
      <c r="D32" s="664">
        <f>SUM(D30:D31)</f>
        <v>4734</v>
      </c>
      <c r="E32" s="701">
        <f>SUM(E30:E31)</f>
        <v>1125</v>
      </c>
    </row>
    <row r="33" spans="1:6" x14ac:dyDescent="0.25">
      <c r="A33" s="15" t="s">
        <v>59</v>
      </c>
      <c r="B33" s="705"/>
      <c r="C33" s="703">
        <f>+C32+C27</f>
        <v>18410</v>
      </c>
      <c r="D33" s="664">
        <f>+D32+D27</f>
        <v>17489</v>
      </c>
      <c r="E33" s="701">
        <f>+E32+E27</f>
        <v>921</v>
      </c>
    </row>
    <row r="34" spans="1:6" x14ac:dyDescent="0.25">
      <c r="A34" s="15" t="s">
        <v>60</v>
      </c>
      <c r="B34" s="704"/>
      <c r="C34" s="702">
        <f>+C21-C33</f>
        <v>513785</v>
      </c>
      <c r="D34" s="482">
        <f>+D21-D33</f>
        <v>514830</v>
      </c>
      <c r="E34" s="700">
        <f>+E33+E21</f>
        <v>1045</v>
      </c>
    </row>
    <row r="35" spans="1:6" x14ac:dyDescent="0.25">
      <c r="A35" s="201"/>
      <c r="B35" s="704"/>
      <c r="C35" s="699"/>
      <c r="D35" s="476"/>
      <c r="E35" s="699"/>
    </row>
    <row r="36" spans="1:6" x14ac:dyDescent="0.25">
      <c r="A36" s="15" t="s">
        <v>61</v>
      </c>
      <c r="B36" s="704" t="s">
        <v>977</v>
      </c>
      <c r="C36" s="699"/>
      <c r="D36" s="476"/>
      <c r="E36" s="699"/>
    </row>
    <row r="37" spans="1:6" x14ac:dyDescent="0.25">
      <c r="A37" s="201" t="s">
        <v>62</v>
      </c>
      <c r="B37" s="696"/>
      <c r="C37" s="700">
        <f>+'3'!C116</f>
        <v>398518</v>
      </c>
      <c r="D37" s="476">
        <f>+'3'!D116</f>
        <v>407910</v>
      </c>
      <c r="E37" s="700">
        <f>+D37-C37</f>
        <v>9392</v>
      </c>
    </row>
    <row r="38" spans="1:6" x14ac:dyDescent="0.25">
      <c r="A38" s="201" t="s">
        <v>568</v>
      </c>
      <c r="B38" s="696"/>
      <c r="C38" s="701">
        <f>+'3'!C117</f>
        <v>115267</v>
      </c>
      <c r="D38" s="479">
        <f>+'3'!D117</f>
        <v>106920</v>
      </c>
      <c r="E38" s="701">
        <f>+D38-C38</f>
        <v>-8347</v>
      </c>
    </row>
    <row r="39" spans="1:6" x14ac:dyDescent="0.25">
      <c r="A39" s="36" t="s">
        <v>63</v>
      </c>
      <c r="B39" s="697"/>
      <c r="C39" s="703">
        <f>SUM(C37:C38)</f>
        <v>513785</v>
      </c>
      <c r="D39" s="664">
        <f>SUM(D37:D38)</f>
        <v>514830</v>
      </c>
      <c r="E39" s="701">
        <f>SUM(E37:E38)</f>
        <v>1045</v>
      </c>
    </row>
    <row r="40" spans="1:6" x14ac:dyDescent="0.25">
      <c r="A40" s="555" t="s">
        <v>1059</v>
      </c>
      <c r="B40" s="201"/>
      <c r="C40" s="201"/>
      <c r="D40" s="201"/>
      <c r="E40" s="201"/>
    </row>
    <row r="41" spans="1:6" x14ac:dyDescent="0.25">
      <c r="A41" s="555"/>
      <c r="B41" s="201"/>
      <c r="C41" s="201"/>
      <c r="D41" s="201"/>
      <c r="E41" s="201"/>
    </row>
    <row r="42" spans="1:6" x14ac:dyDescent="0.25">
      <c r="A42" s="1088" t="s">
        <v>978</v>
      </c>
      <c r="B42" s="1088"/>
      <c r="C42" s="1088"/>
      <c r="D42" s="1088"/>
      <c r="E42" s="1088"/>
      <c r="F42" s="1088"/>
    </row>
    <row r="43" spans="1:6" ht="52.95" customHeight="1" x14ac:dyDescent="0.25">
      <c r="A43" s="944" t="s">
        <v>1392</v>
      </c>
      <c r="B43" s="944"/>
      <c r="C43" s="944"/>
      <c r="D43" s="944"/>
      <c r="E43" s="944"/>
      <c r="F43" s="944"/>
    </row>
    <row r="44" spans="1:6" x14ac:dyDescent="0.25">
      <c r="A44" s="555"/>
      <c r="B44" s="201"/>
      <c r="C44" s="201"/>
      <c r="D44" s="201"/>
      <c r="E44" s="201"/>
    </row>
    <row r="45" spans="1:6" ht="39.6" customHeight="1" x14ac:dyDescent="0.25">
      <c r="A45" s="944" t="s">
        <v>1393</v>
      </c>
      <c r="B45" s="944"/>
      <c r="C45" s="944"/>
      <c r="D45" s="944"/>
      <c r="E45" s="944"/>
      <c r="F45" s="944"/>
    </row>
    <row r="46" spans="1:6" x14ac:dyDescent="0.25">
      <c r="A46" s="201"/>
      <c r="B46" s="201"/>
      <c r="C46" s="201"/>
      <c r="D46" s="201"/>
      <c r="E46" s="201"/>
    </row>
    <row r="47" spans="1:6" ht="52.95" customHeight="1" x14ac:dyDescent="0.25">
      <c r="A47" s="944" t="s">
        <v>1170</v>
      </c>
      <c r="B47" s="944"/>
      <c r="C47" s="944"/>
      <c r="D47" s="944"/>
      <c r="E47" s="944"/>
      <c r="F47" s="944"/>
    </row>
    <row r="48" spans="1:6" x14ac:dyDescent="0.25">
      <c r="A48" s="555"/>
      <c r="B48" s="201"/>
      <c r="C48" s="600"/>
      <c r="D48" s="600"/>
      <c r="E48" s="600"/>
      <c r="F48" s="600"/>
    </row>
    <row r="49" spans="1:6" ht="63.75" customHeight="1" x14ac:dyDescent="0.25">
      <c r="A49" s="944" t="s">
        <v>1061</v>
      </c>
      <c r="B49" s="944"/>
      <c r="C49" s="944"/>
      <c r="D49" s="944"/>
      <c r="E49" s="944"/>
      <c r="F49" s="944"/>
    </row>
    <row r="50" spans="1:6" x14ac:dyDescent="0.25">
      <c r="A50" s="555"/>
      <c r="B50" s="201"/>
      <c r="C50" s="600"/>
      <c r="D50" s="600"/>
      <c r="E50" s="600"/>
      <c r="F50" s="600"/>
    </row>
    <row r="51" spans="1:6" ht="25.5" customHeight="1" x14ac:dyDescent="0.25">
      <c r="A51" s="1089" t="s">
        <v>979</v>
      </c>
      <c r="B51" s="1088"/>
      <c r="C51" s="1088"/>
      <c r="D51" s="1088"/>
      <c r="E51" s="1088"/>
      <c r="F51" s="1088"/>
    </row>
    <row r="52" spans="1:6" s="888" customFormat="1" ht="25.5" customHeight="1" x14ac:dyDescent="0.25">
      <c r="A52" s="949" t="s">
        <v>1171</v>
      </c>
      <c r="B52" s="949"/>
      <c r="C52" s="949"/>
      <c r="D52" s="949"/>
      <c r="E52" s="949"/>
      <c r="F52" s="949"/>
    </row>
    <row r="53" spans="1:6" x14ac:dyDescent="0.25">
      <c r="A53" s="881"/>
      <c r="B53" s="83"/>
      <c r="C53" s="83"/>
      <c r="D53" s="83"/>
      <c r="E53" s="83"/>
      <c r="F53" s="83"/>
    </row>
    <row r="54" spans="1:6" ht="39.6" customHeight="1" x14ac:dyDescent="0.25">
      <c r="A54" s="944" t="s">
        <v>135</v>
      </c>
      <c r="B54" s="944"/>
      <c r="C54" s="944"/>
      <c r="D54" s="944"/>
      <c r="E54" s="944"/>
      <c r="F54" s="944"/>
    </row>
    <row r="55" spans="1:6" x14ac:dyDescent="0.25">
      <c r="A55" s="881"/>
      <c r="B55" s="83"/>
      <c r="C55" s="83"/>
      <c r="D55" s="83"/>
      <c r="E55" s="83"/>
      <c r="F55" s="340"/>
    </row>
    <row r="56" spans="1:6" ht="26.4" customHeight="1" x14ac:dyDescent="0.25">
      <c r="A56" s="944" t="s">
        <v>136</v>
      </c>
      <c r="B56" s="944"/>
      <c r="C56" s="944"/>
      <c r="D56" s="944"/>
      <c r="E56" s="944"/>
      <c r="F56" s="944"/>
    </row>
    <row r="57" spans="1:6" x14ac:dyDescent="0.25">
      <c r="A57" s="555"/>
      <c r="B57" s="201"/>
      <c r="C57" s="201"/>
      <c r="D57" s="201"/>
      <c r="E57" s="201"/>
    </row>
    <row r="58" spans="1:6" x14ac:dyDescent="0.25">
      <c r="A58" s="15" t="s">
        <v>980</v>
      </c>
      <c r="B58" s="35"/>
      <c r="C58" s="600"/>
      <c r="D58" s="600"/>
      <c r="E58" s="600"/>
      <c r="F58" s="600"/>
    </row>
    <row r="59" spans="1:6" ht="79.2" customHeight="1" x14ac:dyDescent="0.25">
      <c r="A59" s="1084" t="s">
        <v>796</v>
      </c>
      <c r="B59" s="966"/>
      <c r="C59" s="966"/>
      <c r="D59" s="966"/>
      <c r="E59" s="966"/>
      <c r="F59" s="966"/>
    </row>
    <row r="60" spans="1:6" x14ac:dyDescent="0.25">
      <c r="A60" s="674"/>
      <c r="B60" s="434"/>
      <c r="C60" s="380" t="s">
        <v>331</v>
      </c>
      <c r="D60" s="380"/>
      <c r="E60" s="380"/>
      <c r="F60" s="600"/>
    </row>
    <row r="61" spans="1:6" x14ac:dyDescent="0.25">
      <c r="A61" s="674"/>
      <c r="B61" s="434"/>
      <c r="C61" s="380" t="s">
        <v>332</v>
      </c>
      <c r="D61" s="380" t="s">
        <v>313</v>
      </c>
      <c r="E61" s="380" t="s">
        <v>314</v>
      </c>
      <c r="F61" s="600"/>
    </row>
    <row r="62" spans="1:6" x14ac:dyDescent="0.25">
      <c r="A62" s="434"/>
      <c r="B62" s="658"/>
      <c r="C62" s="380">
        <v>2017</v>
      </c>
      <c r="D62" s="380">
        <v>2018</v>
      </c>
      <c r="E62" s="380"/>
      <c r="F62" s="600"/>
    </row>
    <row r="63" spans="1:6" x14ac:dyDescent="0.25">
      <c r="A63" s="674"/>
      <c r="B63" s="434"/>
      <c r="C63" s="380" t="s">
        <v>298</v>
      </c>
      <c r="D63" s="380" t="s">
        <v>298</v>
      </c>
      <c r="E63" s="380" t="s">
        <v>298</v>
      </c>
      <c r="F63" s="600"/>
    </row>
    <row r="64" spans="1:6" x14ac:dyDescent="0.25">
      <c r="A64" s="241" t="s">
        <v>43</v>
      </c>
      <c r="B64" s="201"/>
      <c r="C64" s="700">
        <f>+'3'!C89</f>
        <v>30194</v>
      </c>
      <c r="D64" s="476">
        <f>+'3'!D89</f>
        <v>17780</v>
      </c>
      <c r="E64" s="700">
        <f>+C64-D64</f>
        <v>12414</v>
      </c>
      <c r="F64" s="600"/>
    </row>
    <row r="65" spans="1:6" x14ac:dyDescent="0.25">
      <c r="A65" s="241" t="s">
        <v>52</v>
      </c>
      <c r="B65" s="201"/>
      <c r="C65" s="701">
        <f>+'3'!C106</f>
        <v>12551</v>
      </c>
      <c r="D65" s="479">
        <f>+'3'!D106</f>
        <v>12755</v>
      </c>
      <c r="E65" s="701">
        <f>+C65-D65</f>
        <v>-204</v>
      </c>
      <c r="F65" s="600"/>
    </row>
    <row r="66" spans="1:6" x14ac:dyDescent="0.25">
      <c r="A66" s="241" t="s">
        <v>394</v>
      </c>
      <c r="B66" s="201"/>
      <c r="C66" s="706">
        <f>C64-C65</f>
        <v>17643</v>
      </c>
      <c r="D66" s="476">
        <f>D64-D65</f>
        <v>5025</v>
      </c>
      <c r="E66" s="700">
        <f>+C66-D66</f>
        <v>12618</v>
      </c>
      <c r="F66" s="600"/>
    </row>
    <row r="67" spans="1:6" ht="26.4" x14ac:dyDescent="0.25">
      <c r="A67" s="555" t="s">
        <v>395</v>
      </c>
      <c r="B67" s="201"/>
      <c r="C67" s="706"/>
      <c r="D67" s="476"/>
      <c r="E67" s="706"/>
      <c r="F67" s="600"/>
    </row>
    <row r="68" spans="1:6" x14ac:dyDescent="0.25">
      <c r="A68" s="177" t="s">
        <v>396</v>
      </c>
      <c r="B68" s="201"/>
      <c r="C68" s="706">
        <f>+'11'!C80</f>
        <v>-936</v>
      </c>
      <c r="D68" s="476">
        <f>+'11'!D80</f>
        <v>-894</v>
      </c>
      <c r="E68" s="700">
        <f>+C68-D68</f>
        <v>-42</v>
      </c>
      <c r="F68" s="600"/>
    </row>
    <row r="69" spans="1:6" x14ac:dyDescent="0.25">
      <c r="A69" s="279" t="s">
        <v>676</v>
      </c>
      <c r="B69" s="201"/>
      <c r="C69" s="707">
        <v>-6569</v>
      </c>
      <c r="D69" s="485">
        <v>0</v>
      </c>
      <c r="E69" s="707">
        <f>+C69-D69</f>
        <v>-6569</v>
      </c>
      <c r="F69" s="600"/>
    </row>
    <row r="70" spans="1:6" x14ac:dyDescent="0.25">
      <c r="A70" s="177" t="s">
        <v>733</v>
      </c>
      <c r="B70" s="201"/>
      <c r="C70" s="701">
        <v>0</v>
      </c>
      <c r="D70" s="479">
        <v>0</v>
      </c>
      <c r="E70" s="701">
        <v>0</v>
      </c>
      <c r="F70" s="600"/>
    </row>
    <row r="71" spans="1:6" x14ac:dyDescent="0.25">
      <c r="A71" s="38" t="s">
        <v>677</v>
      </c>
      <c r="B71" s="698"/>
      <c r="C71" s="708">
        <f>SUM(C66:C69)</f>
        <v>10138</v>
      </c>
      <c r="D71" s="487">
        <f>SUM(D66:D69)</f>
        <v>4131</v>
      </c>
      <c r="E71" s="709">
        <f>SUM(E66:E69)</f>
        <v>6007</v>
      </c>
      <c r="F71" s="600"/>
    </row>
    <row r="72" spans="1:6" x14ac:dyDescent="0.25">
      <c r="A72" s="555"/>
      <c r="B72" s="201"/>
      <c r="C72" s="600"/>
      <c r="D72" s="600"/>
      <c r="E72" s="600"/>
      <c r="F72" s="600"/>
    </row>
    <row r="73" spans="1:6" ht="52.95" customHeight="1" x14ac:dyDescent="0.25">
      <c r="A73" s="1115" t="s">
        <v>1079</v>
      </c>
      <c r="B73" s="1115"/>
      <c r="C73" s="1115"/>
      <c r="D73" s="1115"/>
      <c r="E73" s="1115"/>
      <c r="F73" s="1115"/>
    </row>
    <row r="74" spans="1:6" x14ac:dyDescent="0.25">
      <c r="A74" s="555"/>
      <c r="B74" s="201"/>
      <c r="C74" s="600"/>
      <c r="D74" s="600"/>
      <c r="E74" s="600"/>
      <c r="F74" s="600"/>
    </row>
    <row r="75" spans="1:6" x14ac:dyDescent="0.25">
      <c r="A75" s="15" t="s">
        <v>981</v>
      </c>
      <c r="B75" s="35"/>
      <c r="C75" s="600"/>
      <c r="D75" s="600"/>
      <c r="E75" s="600"/>
      <c r="F75" s="600"/>
    </row>
    <row r="76" spans="1:6" x14ac:dyDescent="0.25">
      <c r="A76" s="944" t="s">
        <v>137</v>
      </c>
      <c r="B76" s="944"/>
      <c r="C76" s="944"/>
      <c r="D76" s="944"/>
      <c r="E76" s="944"/>
      <c r="F76" s="944"/>
    </row>
    <row r="77" spans="1:6" ht="26.4" customHeight="1" x14ac:dyDescent="0.25">
      <c r="A77" s="959" t="s">
        <v>1394</v>
      </c>
      <c r="B77" s="947"/>
      <c r="C77" s="947"/>
      <c r="D77" s="947"/>
      <c r="E77" s="947"/>
      <c r="F77" s="947"/>
    </row>
    <row r="78" spans="1:6" ht="39.6" customHeight="1" x14ac:dyDescent="0.25">
      <c r="A78" s="959" t="s">
        <v>1395</v>
      </c>
      <c r="B78" s="947"/>
      <c r="C78" s="947"/>
      <c r="D78" s="947"/>
      <c r="E78" s="947"/>
      <c r="F78" s="947"/>
    </row>
    <row r="79" spans="1:6" ht="63.75" customHeight="1" x14ac:dyDescent="0.25">
      <c r="A79" s="959" t="s">
        <v>1396</v>
      </c>
      <c r="B79" s="947"/>
      <c r="C79" s="947"/>
      <c r="D79" s="947"/>
      <c r="E79" s="947"/>
      <c r="F79" s="947"/>
    </row>
    <row r="80" spans="1:6" x14ac:dyDescent="0.25">
      <c r="A80" s="341"/>
      <c r="B80" s="83"/>
      <c r="C80" s="83"/>
      <c r="D80" s="83"/>
      <c r="E80" s="83"/>
      <c r="F80" s="83"/>
    </row>
    <row r="81" spans="1:6" x14ac:dyDescent="0.25">
      <c r="A81" s="15" t="s">
        <v>982</v>
      </c>
      <c r="B81" s="201"/>
    </row>
    <row r="82" spans="1:6" ht="25.5" customHeight="1" x14ac:dyDescent="0.25">
      <c r="A82" s="966" t="s">
        <v>1080</v>
      </c>
      <c r="B82" s="966"/>
      <c r="C82" s="966"/>
      <c r="D82" s="966"/>
      <c r="E82" s="966"/>
      <c r="F82" s="966"/>
    </row>
    <row r="83" spans="1:6" ht="27" customHeight="1" x14ac:dyDescent="0.25">
      <c r="A83" s="949" t="s">
        <v>1173</v>
      </c>
      <c r="B83" s="944"/>
      <c r="C83" s="944"/>
      <c r="D83" s="944"/>
      <c r="E83" s="944"/>
      <c r="F83" s="944"/>
    </row>
    <row r="84" spans="1:6" ht="25.5" customHeight="1" x14ac:dyDescent="0.25">
      <c r="A84" s="949" t="s">
        <v>1172</v>
      </c>
      <c r="B84" s="944"/>
      <c r="C84" s="944"/>
      <c r="D84" s="944"/>
      <c r="E84" s="944"/>
      <c r="F84" s="944"/>
    </row>
    <row r="85" spans="1:6" ht="12.75" customHeight="1" x14ac:dyDescent="0.25">
      <c r="A85" s="949" t="s">
        <v>1174</v>
      </c>
      <c r="B85" s="944"/>
      <c r="C85" s="944"/>
      <c r="D85" s="944"/>
      <c r="E85" s="944"/>
      <c r="F85" s="944"/>
    </row>
    <row r="86" spans="1:6" ht="24.75" customHeight="1" x14ac:dyDescent="0.25">
      <c r="A86" s="949" t="s">
        <v>1175</v>
      </c>
      <c r="B86" s="944"/>
      <c r="C86" s="944"/>
      <c r="D86" s="944"/>
      <c r="E86" s="944"/>
      <c r="F86" s="944"/>
    </row>
    <row r="87" spans="1:6" ht="25.5" customHeight="1" x14ac:dyDescent="0.25">
      <c r="A87" s="949" t="s">
        <v>1176</v>
      </c>
      <c r="B87" s="944"/>
      <c r="C87" s="944"/>
      <c r="D87" s="944"/>
      <c r="E87" s="944"/>
      <c r="F87" s="944"/>
    </row>
    <row r="88" spans="1:6" ht="12.75" customHeight="1" x14ac:dyDescent="0.25">
      <c r="A88" s="949" t="s">
        <v>1177</v>
      </c>
      <c r="B88" s="944"/>
      <c r="C88" s="944"/>
      <c r="D88" s="944"/>
      <c r="E88" s="944"/>
      <c r="F88" s="944"/>
    </row>
    <row r="89" spans="1:6" ht="12.75" customHeight="1" x14ac:dyDescent="0.25">
      <c r="A89" s="949" t="s">
        <v>1178</v>
      </c>
      <c r="B89" s="944"/>
      <c r="C89" s="944"/>
      <c r="D89" s="944"/>
      <c r="E89" s="944"/>
      <c r="F89" s="944"/>
    </row>
    <row r="90" spans="1:6" ht="25.5" customHeight="1" x14ac:dyDescent="0.25">
      <c r="A90" s="949" t="s">
        <v>1179</v>
      </c>
      <c r="B90" s="944"/>
      <c r="C90" s="944"/>
      <c r="D90" s="944"/>
      <c r="E90" s="944"/>
      <c r="F90" s="944"/>
    </row>
  </sheetData>
  <mergeCells count="25">
    <mergeCell ref="A87:F87"/>
    <mergeCell ref="A88:F88"/>
    <mergeCell ref="A90:F90"/>
    <mergeCell ref="A89:F89"/>
    <mergeCell ref="A84:F84"/>
    <mergeCell ref="A85:F85"/>
    <mergeCell ref="A86:F86"/>
    <mergeCell ref="A83:F83"/>
    <mergeCell ref="A51:F51"/>
    <mergeCell ref="A52:F52"/>
    <mergeCell ref="A54:F54"/>
    <mergeCell ref="A59:F59"/>
    <mergeCell ref="A76:F76"/>
    <mergeCell ref="A78:F78"/>
    <mergeCell ref="A79:F79"/>
    <mergeCell ref="A77:F77"/>
    <mergeCell ref="A82:F82"/>
    <mergeCell ref="A73:F73"/>
    <mergeCell ref="A49:F49"/>
    <mergeCell ref="A56:F56"/>
    <mergeCell ref="A3:F3"/>
    <mergeCell ref="A42:F42"/>
    <mergeCell ref="A43:F43"/>
    <mergeCell ref="A47:F47"/>
    <mergeCell ref="A45:F45"/>
  </mergeCells>
  <phoneticPr fontId="11" type="noConversion"/>
  <pageMargins left="0.74803149606299213" right="0.74803149606299213" top="0.98425196850393704" bottom="0.98425196850393704" header="0.51181102362204722" footer="0.51181102362204722"/>
  <pageSetup paperSize="9" firstPageNumber="70" orientation="portrait" useFirstPageNumber="1" r:id="rId1"/>
  <headerFooter alignWithMargins="0">
    <oddFooter>&amp;L&amp;8Chartered Accountants Australia New Zealand&amp;C&amp;9&amp;P&amp;R&amp;8VICTORIAN CITY COUNCIL</oddFooter>
  </headerFooter>
  <rowBreaks count="1" manualBreakCount="1">
    <brk id="7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100" workbookViewId="0">
      <selection activeCell="A40" sqref="A40"/>
    </sheetView>
  </sheetViews>
  <sheetFormatPr defaultRowHeight="13.2" x14ac:dyDescent="0.25"/>
  <cols>
    <col min="1" max="1" width="89" customWidth="1"/>
    <col min="2" max="2" width="9.109375" customWidth="1"/>
  </cols>
  <sheetData>
    <row r="1" spans="1:3" x14ac:dyDescent="0.25">
      <c r="A1" s="3"/>
      <c r="B1" s="3"/>
    </row>
    <row r="2" spans="1:3" x14ac:dyDescent="0.25">
      <c r="A2" s="3"/>
      <c r="B2" s="3"/>
    </row>
    <row r="3" spans="1:3" x14ac:dyDescent="0.25">
      <c r="A3" s="3"/>
      <c r="B3" s="3"/>
    </row>
    <row r="4" spans="1:3" ht="13.8" x14ac:dyDescent="0.25">
      <c r="A4" s="2"/>
      <c r="B4" s="3"/>
    </row>
    <row r="5" spans="1:3" s="1" customFormat="1" ht="13.8" x14ac:dyDescent="0.25">
      <c r="A5" s="2"/>
      <c r="B5" s="3"/>
    </row>
    <row r="6" spans="1:3" s="1" customFormat="1" ht="16.5" customHeight="1" x14ac:dyDescent="0.25">
      <c r="A6" s="2"/>
      <c r="B6" s="3"/>
    </row>
    <row r="7" spans="1:3" s="1" customFormat="1" ht="16.5" customHeight="1" x14ac:dyDescent="0.3">
      <c r="A7" s="325" t="s">
        <v>315</v>
      </c>
      <c r="B7" s="326" t="s">
        <v>316</v>
      </c>
    </row>
    <row r="8" spans="1:3" s="1" customFormat="1" ht="16.5" customHeight="1" x14ac:dyDescent="0.25">
      <c r="A8" s="249" t="s">
        <v>1002</v>
      </c>
      <c r="B8" s="6" t="s">
        <v>1206</v>
      </c>
    </row>
    <row r="9" spans="1:3" s="1" customFormat="1" ht="16.5" customHeight="1" x14ac:dyDescent="0.25">
      <c r="A9" s="4" t="s">
        <v>826</v>
      </c>
      <c r="B9" s="6" t="s">
        <v>1206</v>
      </c>
    </row>
    <row r="10" spans="1:3" s="1" customFormat="1" ht="15.75" customHeight="1" x14ac:dyDescent="0.25">
      <c r="A10" s="4"/>
      <c r="B10" s="6"/>
    </row>
    <row r="11" spans="1:3" s="1" customFormat="1" ht="16.5" customHeight="1" x14ac:dyDescent="0.25">
      <c r="A11" s="5" t="s">
        <v>875</v>
      </c>
      <c r="B11" s="6"/>
    </row>
    <row r="12" spans="1:3" s="1" customFormat="1" ht="16.5" customHeight="1" x14ac:dyDescent="0.25">
      <c r="A12" s="4" t="s">
        <v>845</v>
      </c>
      <c r="B12" s="6" t="s">
        <v>1206</v>
      </c>
    </row>
    <row r="13" spans="1:3" s="1" customFormat="1" ht="16.5" customHeight="1" x14ac:dyDescent="0.25">
      <c r="A13" s="4" t="s">
        <v>846</v>
      </c>
      <c r="B13" s="6" t="s">
        <v>1206</v>
      </c>
    </row>
    <row r="14" spans="1:3" s="1" customFormat="1" ht="16.5" customHeight="1" x14ac:dyDescent="0.25">
      <c r="A14" s="4" t="s">
        <v>847</v>
      </c>
      <c r="B14" s="6" t="s">
        <v>1206</v>
      </c>
    </row>
    <row r="15" spans="1:3" s="1" customFormat="1" ht="16.5" customHeight="1" x14ac:dyDescent="0.25">
      <c r="A15" s="4" t="s">
        <v>848</v>
      </c>
      <c r="B15" s="6" t="s">
        <v>1206</v>
      </c>
    </row>
    <row r="16" spans="1:3" s="1" customFormat="1" ht="16.5" customHeight="1" x14ac:dyDescent="0.25">
      <c r="A16" s="219" t="s">
        <v>1043</v>
      </c>
      <c r="B16" s="6" t="s">
        <v>1206</v>
      </c>
      <c r="C16" s="1" t="s">
        <v>76</v>
      </c>
    </row>
    <row r="17" spans="1:2" s="1" customFormat="1" ht="16.5" customHeight="1" x14ac:dyDescent="0.25">
      <c r="A17" s="4" t="s">
        <v>849</v>
      </c>
      <c r="B17" s="6" t="s">
        <v>1206</v>
      </c>
    </row>
    <row r="18" spans="1:2" s="1" customFormat="1" ht="16.5" customHeight="1" x14ac:dyDescent="0.25">
      <c r="A18" s="4" t="s">
        <v>850</v>
      </c>
      <c r="B18" s="6" t="s">
        <v>1206</v>
      </c>
    </row>
    <row r="19" spans="1:2" s="1" customFormat="1" ht="16.5" customHeight="1" x14ac:dyDescent="0.25">
      <c r="A19" s="5" t="s">
        <v>1203</v>
      </c>
      <c r="B19" s="6"/>
    </row>
    <row r="20" spans="1:2" s="1" customFormat="1" ht="16.5" customHeight="1" x14ac:dyDescent="0.25">
      <c r="A20" s="4" t="s">
        <v>984</v>
      </c>
      <c r="B20" s="6" t="s">
        <v>1206</v>
      </c>
    </row>
    <row r="21" spans="1:2" s="1" customFormat="1" ht="16.5" customHeight="1" x14ac:dyDescent="0.25">
      <c r="A21" s="4" t="s">
        <v>1331</v>
      </c>
      <c r="B21" s="6" t="s">
        <v>1206</v>
      </c>
    </row>
    <row r="22" spans="1:2" s="1" customFormat="1" ht="16.5" customHeight="1" x14ac:dyDescent="0.25">
      <c r="A22" s="4" t="s">
        <v>1003</v>
      </c>
      <c r="B22" s="6" t="s">
        <v>1206</v>
      </c>
    </row>
    <row r="23" spans="1:2" s="1" customFormat="1" ht="16.5" customHeight="1" x14ac:dyDescent="0.25">
      <c r="A23" s="4" t="s">
        <v>827</v>
      </c>
      <c r="B23" s="6" t="s">
        <v>1206</v>
      </c>
    </row>
    <row r="24" spans="1:2" s="1" customFormat="1" ht="16.5" customHeight="1" x14ac:dyDescent="0.25">
      <c r="A24" s="4" t="s">
        <v>828</v>
      </c>
      <c r="B24" s="6" t="s">
        <v>1206</v>
      </c>
    </row>
    <row r="25" spans="1:2" s="1" customFormat="1" ht="16.5" customHeight="1" x14ac:dyDescent="0.25">
      <c r="A25" s="4" t="s">
        <v>829</v>
      </c>
      <c r="B25" s="6" t="s">
        <v>1206</v>
      </c>
    </row>
    <row r="26" spans="1:2" s="1" customFormat="1" ht="16.5" customHeight="1" x14ac:dyDescent="0.25">
      <c r="A26" s="5" t="s">
        <v>318</v>
      </c>
      <c r="B26" s="6"/>
    </row>
    <row r="27" spans="1:2" s="1" customFormat="1" ht="16.5" customHeight="1" x14ac:dyDescent="0.25">
      <c r="A27" s="4" t="s">
        <v>985</v>
      </c>
      <c r="B27" s="6" t="s">
        <v>1206</v>
      </c>
    </row>
    <row r="28" spans="1:2" s="1" customFormat="1" ht="16.5" customHeight="1" x14ac:dyDescent="0.25">
      <c r="A28" s="4" t="s">
        <v>1005</v>
      </c>
      <c r="B28" s="6" t="s">
        <v>1206</v>
      </c>
    </row>
    <row r="29" spans="1:2" s="1" customFormat="1" ht="16.5" customHeight="1" x14ac:dyDescent="0.25">
      <c r="A29" s="4" t="s">
        <v>1004</v>
      </c>
      <c r="B29" s="6" t="s">
        <v>1206</v>
      </c>
    </row>
    <row r="30" spans="1:2" s="1" customFormat="1" ht="16.5" customHeight="1" x14ac:dyDescent="0.25">
      <c r="A30" s="5" t="s">
        <v>319</v>
      </c>
      <c r="B30" s="6"/>
    </row>
    <row r="31" spans="1:2" ht="16.5" customHeight="1" x14ac:dyDescent="0.25">
      <c r="A31" s="4" t="s">
        <v>830</v>
      </c>
      <c r="B31" s="6" t="s">
        <v>1206</v>
      </c>
    </row>
    <row r="32" spans="1:2" ht="16.5" customHeight="1" x14ac:dyDescent="0.25">
      <c r="A32" s="2" t="s">
        <v>1010</v>
      </c>
      <c r="B32" s="6" t="s">
        <v>1206</v>
      </c>
    </row>
    <row r="33" spans="1:2" ht="16.5" customHeight="1" x14ac:dyDescent="0.25">
      <c r="A33" s="3"/>
      <c r="B33" s="747"/>
    </row>
    <row r="34" spans="1:2" ht="13.8" x14ac:dyDescent="0.25">
      <c r="A34" s="3"/>
      <c r="B34" s="747"/>
    </row>
    <row r="35" spans="1:2" x14ac:dyDescent="0.25">
      <c r="A35" s="3"/>
      <c r="B35" s="3"/>
    </row>
    <row r="36" spans="1:2" x14ac:dyDescent="0.25">
      <c r="A36" s="3"/>
      <c r="B36" s="3"/>
    </row>
    <row r="37" spans="1:2" x14ac:dyDescent="0.25">
      <c r="A37" s="3"/>
      <c r="B37" s="3"/>
    </row>
    <row r="38" spans="1:2" x14ac:dyDescent="0.25">
      <c r="A38" s="3"/>
      <c r="B38" s="3"/>
    </row>
    <row r="39" spans="1:2" x14ac:dyDescent="0.25">
      <c r="A39" s="3"/>
      <c r="B39" s="3"/>
    </row>
    <row r="40" spans="1:2" x14ac:dyDescent="0.25">
      <c r="A40" s="3"/>
      <c r="B40" s="3"/>
    </row>
    <row r="41" spans="1:2" x14ac:dyDescent="0.25">
      <c r="A41" s="3"/>
      <c r="B41" s="3"/>
    </row>
    <row r="42" spans="1:2" x14ac:dyDescent="0.25">
      <c r="A42" s="3"/>
      <c r="B42" s="3"/>
    </row>
    <row r="43" spans="1:2" x14ac:dyDescent="0.25">
      <c r="A43" s="3"/>
      <c r="B43" s="3"/>
    </row>
    <row r="44" spans="1:2" x14ac:dyDescent="0.25">
      <c r="A44" s="3"/>
      <c r="B44" s="3"/>
    </row>
    <row r="45" spans="1:2" x14ac:dyDescent="0.25">
      <c r="A45" s="3"/>
      <c r="B45" s="3"/>
    </row>
    <row r="46" spans="1:2" x14ac:dyDescent="0.25">
      <c r="A46" s="3"/>
      <c r="B46" s="3"/>
    </row>
    <row r="47" spans="1:2" x14ac:dyDescent="0.25">
      <c r="A47" s="3"/>
      <c r="B47" s="3"/>
    </row>
    <row r="49" ht="382.5" customHeight="1" x14ac:dyDescent="0.25"/>
  </sheetData>
  <phoneticPr fontId="11" type="noConversion"/>
  <pageMargins left="0.74803149606299213" right="0.74803149606299213" top="0.98425196850393704" bottom="0.98425196850393704" header="0.51181102362204722" footer="0.51181102362204722"/>
  <pageSetup paperSize="9" scale="89" firstPageNumber="2" orientation="portrait" useFirstPageNumber="1" r:id="rId1"/>
  <headerFooter alignWithMargins="0">
    <oddFooter>&amp;L&amp;8Chartered Accountants Australia New Zealand&amp;R&amp;8VICTORIAN CITY COUNCIL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zoomScaleSheetLayoutView="100" workbookViewId="0">
      <selection activeCell="A40" sqref="A40"/>
    </sheetView>
  </sheetViews>
  <sheetFormatPr defaultColWidth="9.109375" defaultRowHeight="13.2" x14ac:dyDescent="0.25"/>
  <cols>
    <col min="1" max="1" width="12" style="264" customWidth="1"/>
    <col min="2" max="2" width="9.109375" style="21" customWidth="1"/>
    <col min="3" max="4" width="12" style="17" customWidth="1"/>
    <col min="5" max="5" width="45.88671875" style="17" customWidth="1"/>
    <col min="6" max="6" width="7.6640625" style="17" customWidth="1"/>
    <col min="7" max="7" width="10.5546875" style="264" customWidth="1"/>
    <col min="8" max="8" width="41.5546875" style="264" bestFit="1" customWidth="1"/>
    <col min="9" max="16384" width="9.109375" style="264"/>
  </cols>
  <sheetData>
    <row r="1" spans="1:8" ht="16.8" x14ac:dyDescent="0.3">
      <c r="A1" s="330" t="s">
        <v>1029</v>
      </c>
      <c r="B1" s="3"/>
      <c r="C1" s="3"/>
    </row>
    <row r="2" spans="1:8" ht="12.75" customHeight="1" x14ac:dyDescent="0.25">
      <c r="A2" s="263"/>
      <c r="B2" s="3"/>
      <c r="C2" s="3"/>
    </row>
    <row r="3" spans="1:8" ht="12.75" customHeight="1" x14ac:dyDescent="0.25">
      <c r="A3" s="263"/>
      <c r="B3" s="3"/>
      <c r="C3" s="3"/>
    </row>
    <row r="4" spans="1:8" s="268" customFormat="1" x14ac:dyDescent="0.25">
      <c r="A4" s="201"/>
      <c r="B4" s="556"/>
      <c r="C4" s="554"/>
      <c r="D4" s="554"/>
      <c r="E4" s="554"/>
      <c r="F4" s="554"/>
    </row>
    <row r="5" spans="1:8" s="268" customFormat="1" x14ac:dyDescent="0.25">
      <c r="A5" s="944" t="s">
        <v>883</v>
      </c>
      <c r="B5" s="942"/>
      <c r="C5" s="942"/>
      <c r="D5" s="942"/>
      <c r="E5" s="942"/>
      <c r="F5" s="942"/>
    </row>
    <row r="6" spans="1:8" s="268" customFormat="1" ht="13.2" customHeight="1" x14ac:dyDescent="0.25">
      <c r="A6" s="83" t="s">
        <v>884</v>
      </c>
      <c r="B6" s="83"/>
      <c r="C6" s="881"/>
      <c r="D6" s="881"/>
      <c r="E6" s="881"/>
      <c r="F6" s="881"/>
    </row>
    <row r="7" spans="1:8" s="268" customFormat="1" ht="13.2" customHeight="1" x14ac:dyDescent="0.25">
      <c r="A7" s="942" t="s">
        <v>1031</v>
      </c>
      <c r="B7" s="942"/>
      <c r="C7" s="942"/>
      <c r="D7" s="942"/>
      <c r="E7" s="942"/>
      <c r="F7" s="942"/>
    </row>
    <row r="8" spans="1:8" s="268" customFormat="1" ht="13.2" customHeight="1" x14ac:dyDescent="0.25">
      <c r="A8" s="942" t="s">
        <v>1030</v>
      </c>
      <c r="B8" s="942"/>
      <c r="C8" s="942"/>
      <c r="D8" s="942"/>
      <c r="E8" s="942"/>
      <c r="F8" s="942"/>
    </row>
    <row r="9" spans="1:8" s="268" customFormat="1" ht="13.2" customHeight="1" x14ac:dyDescent="0.25">
      <c r="A9" s="942"/>
      <c r="B9" s="942"/>
      <c r="C9" s="942"/>
      <c r="D9" s="942"/>
      <c r="E9" s="942"/>
      <c r="F9" s="942"/>
    </row>
    <row r="10" spans="1:8" s="268" customFormat="1" ht="13.2" customHeight="1" x14ac:dyDescent="0.25">
      <c r="A10" s="942"/>
      <c r="B10" s="942"/>
      <c r="C10" s="942"/>
      <c r="D10" s="942"/>
      <c r="E10" s="942"/>
      <c r="F10" s="942"/>
    </row>
    <row r="11" spans="1:8" s="268" customFormat="1" ht="14.25" customHeight="1" x14ac:dyDescent="0.25">
      <c r="A11" s="1072"/>
      <c r="B11" s="942"/>
      <c r="C11" s="942"/>
      <c r="D11" s="942"/>
      <c r="E11" s="942"/>
      <c r="F11" s="942"/>
    </row>
    <row r="12" spans="1:8" s="268" customFormat="1" ht="14.25" customHeight="1" x14ac:dyDescent="0.25">
      <c r="A12" s="942"/>
      <c r="B12" s="942"/>
      <c r="C12" s="554"/>
      <c r="D12" s="554"/>
      <c r="E12" s="554"/>
      <c r="F12" s="554"/>
    </row>
    <row r="13" spans="1:8" ht="14.25" customHeight="1" x14ac:dyDescent="0.25">
      <c r="A13" s="1116"/>
      <c r="B13" s="1116"/>
    </row>
    <row r="14" spans="1:8" ht="14.25" customHeight="1" x14ac:dyDescent="0.25">
      <c r="A14" s="1116"/>
      <c r="B14" s="1116"/>
    </row>
    <row r="15" spans="1:8" x14ac:dyDescent="0.25">
      <c r="A15" s="3"/>
    </row>
    <row r="16" spans="1:8" s="21" customFormat="1" x14ac:dyDescent="0.25">
      <c r="A16" s="3"/>
      <c r="C16" s="17"/>
      <c r="D16" s="17"/>
      <c r="E16" s="17"/>
      <c r="F16" s="17"/>
      <c r="G16" s="264"/>
      <c r="H16" s="264"/>
    </row>
    <row r="17" spans="1:8" s="21" customFormat="1" x14ac:dyDescent="0.25">
      <c r="A17" s="3"/>
      <c r="C17" s="17"/>
      <c r="D17" s="17"/>
      <c r="E17" s="17"/>
      <c r="F17" s="17"/>
      <c r="G17" s="264"/>
      <c r="H17" s="264"/>
    </row>
    <row r="18" spans="1:8" s="21" customFormat="1" x14ac:dyDescent="0.25">
      <c r="A18" s="3"/>
      <c r="C18" s="17"/>
      <c r="D18" s="17"/>
      <c r="E18" s="17"/>
      <c r="F18" s="17"/>
      <c r="G18" s="264"/>
      <c r="H18" s="264"/>
    </row>
    <row r="19" spans="1:8" s="21" customFormat="1" x14ac:dyDescent="0.25">
      <c r="A19" s="3"/>
      <c r="C19" s="17"/>
      <c r="D19" s="17"/>
      <c r="E19" s="17"/>
      <c r="F19" s="17"/>
      <c r="G19" s="264"/>
      <c r="H19" s="264"/>
    </row>
    <row r="20" spans="1:8" s="21" customFormat="1" x14ac:dyDescent="0.25">
      <c r="A20" s="3"/>
      <c r="C20" s="17"/>
      <c r="D20" s="17"/>
      <c r="E20" s="17"/>
      <c r="F20" s="17"/>
      <c r="G20" s="264"/>
      <c r="H20" s="264"/>
    </row>
    <row r="21" spans="1:8" s="21" customFormat="1" x14ac:dyDescent="0.25">
      <c r="A21" s="9"/>
      <c r="C21" s="17"/>
      <c r="D21" s="17"/>
      <c r="E21" s="17"/>
      <c r="F21" s="17"/>
      <c r="G21" s="264"/>
      <c r="H21" s="264"/>
    </row>
    <row r="22" spans="1:8" s="21" customFormat="1" x14ac:dyDescent="0.25">
      <c r="A22" s="3"/>
      <c r="C22" s="17"/>
      <c r="D22" s="17"/>
      <c r="E22" s="17"/>
      <c r="F22" s="17"/>
      <c r="G22" s="264"/>
      <c r="H22" s="264"/>
    </row>
    <row r="23" spans="1:8" s="21" customFormat="1" x14ac:dyDescent="0.25">
      <c r="A23" s="3"/>
      <c r="C23" s="17"/>
      <c r="D23" s="17"/>
      <c r="E23" s="17"/>
      <c r="F23" s="17"/>
      <c r="G23" s="264"/>
      <c r="H23" s="264"/>
    </row>
    <row r="24" spans="1:8" s="21" customFormat="1" x14ac:dyDescent="0.25">
      <c r="A24" s="3"/>
      <c r="C24" s="17"/>
      <c r="D24" s="17"/>
      <c r="E24" s="17"/>
      <c r="F24" s="17"/>
      <c r="G24" s="264"/>
      <c r="H24" s="264"/>
    </row>
    <row r="25" spans="1:8" s="21" customFormat="1" x14ac:dyDescent="0.25">
      <c r="A25" s="3"/>
      <c r="C25" s="17"/>
      <c r="D25" s="17"/>
      <c r="E25" s="17"/>
      <c r="F25" s="17"/>
      <c r="G25" s="264"/>
      <c r="H25" s="264"/>
    </row>
    <row r="26" spans="1:8" s="21" customFormat="1" x14ac:dyDescent="0.25">
      <c r="A26" s="3"/>
      <c r="C26" s="17"/>
      <c r="D26" s="17"/>
      <c r="E26" s="17"/>
      <c r="F26" s="17"/>
      <c r="G26" s="264"/>
      <c r="H26" s="264"/>
    </row>
    <row r="27" spans="1:8" s="21" customFormat="1" x14ac:dyDescent="0.25">
      <c r="A27" s="3"/>
      <c r="C27" s="17"/>
      <c r="D27" s="17"/>
      <c r="E27" s="17"/>
      <c r="F27" s="17"/>
      <c r="G27" s="264"/>
      <c r="H27" s="264"/>
    </row>
    <row r="28" spans="1:8" s="21" customFormat="1" x14ac:dyDescent="0.25">
      <c r="A28" s="3"/>
      <c r="C28" s="17"/>
      <c r="D28" s="17"/>
      <c r="E28" s="17"/>
      <c r="F28" s="17"/>
      <c r="G28" s="264"/>
      <c r="H28" s="264"/>
    </row>
    <row r="29" spans="1:8" s="21" customFormat="1" x14ac:dyDescent="0.25">
      <c r="A29" s="3"/>
      <c r="C29" s="17"/>
      <c r="D29" s="17"/>
      <c r="E29" s="17"/>
      <c r="F29" s="17"/>
      <c r="G29" s="264"/>
      <c r="H29" s="264"/>
    </row>
    <row r="30" spans="1:8" s="21" customFormat="1" x14ac:dyDescent="0.25">
      <c r="A30" s="3"/>
      <c r="C30" s="17"/>
      <c r="D30" s="17"/>
      <c r="E30" s="17"/>
      <c r="F30" s="17"/>
      <c r="G30" s="264"/>
      <c r="H30" s="264"/>
    </row>
    <row r="31" spans="1:8" s="21" customFormat="1" x14ac:dyDescent="0.25">
      <c r="A31" s="3"/>
      <c r="C31" s="17"/>
      <c r="D31" s="17"/>
      <c r="E31" s="17"/>
      <c r="F31" s="17"/>
      <c r="G31" s="264"/>
      <c r="H31" s="264"/>
    </row>
    <row r="32" spans="1:8" s="21" customFormat="1" x14ac:dyDescent="0.25">
      <c r="A32" s="3"/>
      <c r="C32" s="17"/>
      <c r="D32" s="17"/>
      <c r="E32" s="17"/>
      <c r="F32" s="17"/>
      <c r="G32" s="264"/>
      <c r="H32" s="264"/>
    </row>
    <row r="33" spans="1:8" s="21" customFormat="1" x14ac:dyDescent="0.25">
      <c r="A33" s="3"/>
      <c r="C33" s="17"/>
      <c r="D33" s="17"/>
      <c r="E33" s="17"/>
      <c r="F33" s="17"/>
      <c r="G33" s="264"/>
      <c r="H33" s="264"/>
    </row>
    <row r="34" spans="1:8" s="21" customFormat="1" x14ac:dyDescent="0.25">
      <c r="A34" s="3"/>
      <c r="C34" s="17"/>
      <c r="D34" s="17"/>
      <c r="E34" s="17"/>
      <c r="F34" s="17"/>
      <c r="G34" s="264"/>
      <c r="H34" s="264"/>
    </row>
    <row r="35" spans="1:8" s="21" customFormat="1" x14ac:dyDescent="0.25">
      <c r="A35" s="3"/>
      <c r="C35" s="17"/>
      <c r="D35" s="17"/>
      <c r="E35" s="17"/>
      <c r="F35" s="17"/>
      <c r="G35" s="264"/>
      <c r="H35" s="264"/>
    </row>
    <row r="36" spans="1:8" s="21" customFormat="1" x14ac:dyDescent="0.25">
      <c r="A36" s="3"/>
      <c r="C36" s="17"/>
      <c r="D36" s="17"/>
      <c r="E36" s="17"/>
      <c r="F36" s="17"/>
      <c r="G36" s="264"/>
      <c r="H36" s="264"/>
    </row>
    <row r="37" spans="1:8" s="21" customFormat="1" x14ac:dyDescent="0.25">
      <c r="A37" s="3"/>
      <c r="C37" s="17"/>
      <c r="D37" s="17"/>
      <c r="E37" s="17"/>
      <c r="F37" s="17"/>
      <c r="G37" s="264"/>
      <c r="H37" s="264"/>
    </row>
    <row r="38" spans="1:8" s="21" customFormat="1" x14ac:dyDescent="0.25">
      <c r="A38" s="3"/>
      <c r="C38" s="17"/>
      <c r="D38" s="17"/>
      <c r="E38" s="17"/>
      <c r="F38" s="17"/>
      <c r="G38" s="264"/>
      <c r="H38" s="264"/>
    </row>
    <row r="39" spans="1:8" s="21" customFormat="1" x14ac:dyDescent="0.25">
      <c r="A39" s="3"/>
      <c r="C39" s="17"/>
      <c r="D39" s="17"/>
      <c r="E39" s="17"/>
      <c r="F39" s="17"/>
      <c r="G39" s="264"/>
      <c r="H39" s="264"/>
    </row>
    <row r="40" spans="1:8" s="21" customFormat="1" x14ac:dyDescent="0.25">
      <c r="A40" s="3"/>
      <c r="C40" s="17"/>
      <c r="D40" s="17"/>
      <c r="E40" s="17"/>
      <c r="F40" s="17"/>
      <c r="G40" s="264"/>
      <c r="H40" s="264"/>
    </row>
    <row r="41" spans="1:8" s="21" customFormat="1" x14ac:dyDescent="0.25">
      <c r="A41" s="3"/>
      <c r="C41" s="17"/>
      <c r="D41" s="17"/>
      <c r="E41" s="17"/>
      <c r="F41" s="17"/>
      <c r="G41" s="264"/>
      <c r="H41" s="264"/>
    </row>
    <row r="42" spans="1:8" s="21" customFormat="1" x14ac:dyDescent="0.25">
      <c r="A42" s="3"/>
      <c r="C42" s="17"/>
      <c r="D42" s="17"/>
      <c r="E42" s="17"/>
      <c r="F42" s="17"/>
      <c r="G42" s="264"/>
      <c r="H42" s="264"/>
    </row>
    <row r="43" spans="1:8" s="21" customFormat="1" x14ac:dyDescent="0.25">
      <c r="A43" s="3"/>
      <c r="C43" s="17"/>
      <c r="D43" s="17"/>
      <c r="E43" s="17"/>
      <c r="F43" s="17"/>
      <c r="G43" s="264"/>
      <c r="H43" s="264"/>
    </row>
    <row r="44" spans="1:8" s="21" customFormat="1" x14ac:dyDescent="0.25">
      <c r="A44" s="3"/>
      <c r="C44" s="17"/>
      <c r="D44" s="17"/>
      <c r="E44" s="17"/>
      <c r="F44" s="17"/>
      <c r="G44" s="264"/>
      <c r="H44" s="264"/>
    </row>
    <row r="45" spans="1:8" s="21" customFormat="1" x14ac:dyDescent="0.25">
      <c r="A45" s="3"/>
      <c r="C45" s="17"/>
      <c r="D45" s="17"/>
      <c r="E45" s="17"/>
      <c r="F45" s="17"/>
      <c r="G45" s="264"/>
      <c r="H45" s="264"/>
    </row>
    <row r="46" spans="1:8" s="21" customFormat="1" x14ac:dyDescent="0.25">
      <c r="A46" s="3"/>
      <c r="C46" s="17"/>
      <c r="D46" s="17"/>
      <c r="E46" s="17"/>
      <c r="F46" s="17"/>
      <c r="G46" s="264"/>
      <c r="H46" s="264"/>
    </row>
    <row r="47" spans="1:8" s="21" customFormat="1" x14ac:dyDescent="0.25">
      <c r="A47" s="3"/>
      <c r="C47" s="17"/>
      <c r="D47" s="17"/>
      <c r="E47" s="17"/>
      <c r="F47" s="17"/>
      <c r="G47" s="264"/>
      <c r="H47" s="264"/>
    </row>
    <row r="48" spans="1:8" s="21" customFormat="1" x14ac:dyDescent="0.25">
      <c r="A48" s="3"/>
      <c r="C48" s="17"/>
      <c r="D48" s="17"/>
      <c r="E48" s="17"/>
      <c r="F48" s="17"/>
      <c r="G48" s="264"/>
      <c r="H48" s="264"/>
    </row>
    <row r="49" spans="1:8" s="21" customFormat="1" ht="382.5" customHeight="1" x14ac:dyDescent="0.25">
      <c r="A49" s="3"/>
      <c r="C49" s="17"/>
      <c r="D49" s="17"/>
      <c r="E49" s="17"/>
      <c r="F49" s="17"/>
      <c r="G49" s="264"/>
      <c r="H49" s="264"/>
    </row>
    <row r="50" spans="1:8" s="21" customFormat="1" x14ac:dyDescent="0.25">
      <c r="A50" s="3"/>
      <c r="C50" s="17"/>
      <c r="D50" s="17"/>
      <c r="E50" s="17"/>
      <c r="F50" s="17"/>
      <c r="G50" s="264"/>
      <c r="H50" s="264"/>
    </row>
    <row r="51" spans="1:8" s="21" customFormat="1" x14ac:dyDescent="0.25">
      <c r="A51" s="3"/>
      <c r="C51" s="17"/>
      <c r="D51" s="17"/>
      <c r="E51" s="17"/>
      <c r="F51" s="17"/>
      <c r="G51" s="264"/>
      <c r="H51" s="264"/>
    </row>
    <row r="52" spans="1:8" s="21" customFormat="1" x14ac:dyDescent="0.25">
      <c r="A52" s="3"/>
      <c r="C52" s="17"/>
      <c r="D52" s="17"/>
      <c r="E52" s="17"/>
      <c r="F52" s="17"/>
      <c r="G52" s="264"/>
      <c r="H52" s="264"/>
    </row>
    <row r="53" spans="1:8" s="21" customFormat="1" x14ac:dyDescent="0.25">
      <c r="A53" s="3"/>
      <c r="C53" s="17"/>
      <c r="D53" s="17"/>
      <c r="E53" s="17"/>
      <c r="F53" s="17"/>
      <c r="G53" s="264"/>
      <c r="H53" s="264"/>
    </row>
  </sheetData>
  <mergeCells count="9">
    <mergeCell ref="A11:F11"/>
    <mergeCell ref="A12:B12"/>
    <mergeCell ref="A13:B13"/>
    <mergeCell ref="A14:B14"/>
    <mergeCell ref="A5:F5"/>
    <mergeCell ref="A7:F7"/>
    <mergeCell ref="A8:F8"/>
    <mergeCell ref="A9:F9"/>
    <mergeCell ref="A10:F10"/>
  </mergeCells>
  <pageMargins left="0.74803149606299213" right="0.74803149606299213" top="0.98425196850393704" bottom="0.98425196850393704" header="0.51181102362204722" footer="0.51181102362204722"/>
  <pageSetup paperSize="9" scale="89" firstPageNumber="73" orientation="portrait" useFirstPageNumber="1" r:id="rId1"/>
  <headerFooter alignWithMargins="0">
    <oddFooter>&amp;L&amp;8Chartered Accountants Australia New Zealand&amp;C&amp;9&amp;P&amp;R&amp;8VICTORIAN CITY COUNCIL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view="pageBreakPreview" zoomScaleNormal="100" zoomScaleSheetLayoutView="100" workbookViewId="0">
      <selection activeCell="A40" sqref="A40"/>
    </sheetView>
  </sheetViews>
  <sheetFormatPr defaultColWidth="9.109375" defaultRowHeight="13.2" x14ac:dyDescent="0.25"/>
  <cols>
    <col min="1" max="1" width="24.44140625" style="314" customWidth="1"/>
    <col min="2" max="2" width="9.109375" style="314" customWidth="1"/>
    <col min="3" max="3" width="3" style="340" customWidth="1"/>
    <col min="4" max="6" width="9.5546875" style="340" customWidth="1"/>
    <col min="7" max="7" width="8" style="340" customWidth="1"/>
    <col min="8" max="8" width="8.109375" style="340" customWidth="1"/>
    <col min="9" max="9" width="6.44140625" style="340" customWidth="1"/>
    <col min="10" max="10" width="10.5546875" style="63" customWidth="1"/>
    <col min="11" max="11" width="10" style="63" customWidth="1"/>
    <col min="12" max="16384" width="9.109375" style="63"/>
  </cols>
  <sheetData>
    <row r="1" spans="1:9" ht="16.8" x14ac:dyDescent="0.25">
      <c r="A1" s="331" t="s">
        <v>986</v>
      </c>
      <c r="B1" s="136"/>
      <c r="C1" s="710"/>
      <c r="D1" s="710"/>
      <c r="E1" s="710"/>
      <c r="F1" s="710"/>
      <c r="G1" s="710"/>
      <c r="H1" s="710"/>
      <c r="I1" s="710"/>
    </row>
    <row r="2" spans="1:9" x14ac:dyDescent="0.25">
      <c r="A2" s="83"/>
      <c r="B2" s="83"/>
      <c r="C2" s="83"/>
      <c r="D2" s="83"/>
      <c r="E2" s="83"/>
      <c r="F2" s="83"/>
      <c r="G2" s="83"/>
      <c r="H2" s="83"/>
      <c r="I2" s="83"/>
    </row>
    <row r="3" spans="1:9" ht="25.5" customHeight="1" x14ac:dyDescent="0.25">
      <c r="A3" s="949" t="s">
        <v>1397</v>
      </c>
      <c r="B3" s="944"/>
      <c r="C3" s="944"/>
      <c r="D3" s="944"/>
      <c r="E3" s="944"/>
      <c r="F3" s="944"/>
      <c r="G3" s="944"/>
      <c r="H3" s="944"/>
      <c r="I3" s="944"/>
    </row>
    <row r="4" spans="1:9" ht="12.75" customHeight="1" x14ac:dyDescent="0.25">
      <c r="A4" s="341"/>
      <c r="B4" s="341"/>
      <c r="C4" s="83"/>
      <c r="D4" s="83"/>
      <c r="E4" s="83"/>
      <c r="F4" s="83"/>
      <c r="G4" s="83"/>
      <c r="H4" s="83"/>
      <c r="I4" s="83"/>
    </row>
    <row r="5" spans="1:9" x14ac:dyDescent="0.25">
      <c r="A5" s="952" t="s">
        <v>987</v>
      </c>
      <c r="B5" s="941"/>
      <c r="C5" s="83"/>
      <c r="D5" s="83"/>
      <c r="E5" s="83"/>
      <c r="F5" s="83"/>
      <c r="G5" s="83"/>
      <c r="H5" s="83"/>
      <c r="I5" s="83"/>
    </row>
    <row r="6" spans="1:9" ht="66" customHeight="1" x14ac:dyDescent="0.25">
      <c r="A6" s="943" t="s">
        <v>1288</v>
      </c>
      <c r="B6" s="943"/>
      <c r="C6" s="943"/>
      <c r="D6" s="943"/>
      <c r="E6" s="943"/>
      <c r="F6" s="943"/>
      <c r="G6" s="943"/>
      <c r="H6" s="943"/>
      <c r="I6" s="943"/>
    </row>
    <row r="7" spans="1:9" x14ac:dyDescent="0.25">
      <c r="A7" s="309"/>
      <c r="B7" s="309"/>
      <c r="C7" s="309"/>
      <c r="D7" s="309"/>
      <c r="E7" s="309"/>
      <c r="F7" s="309"/>
      <c r="G7" s="309"/>
      <c r="H7" s="309"/>
      <c r="I7" s="309"/>
    </row>
    <row r="8" spans="1:9" ht="52.95" customHeight="1" x14ac:dyDescent="0.25">
      <c r="A8" s="1046" t="s">
        <v>1187</v>
      </c>
      <c r="B8" s="1046"/>
      <c r="C8" s="1046"/>
      <c r="D8" s="1046"/>
      <c r="E8" s="1046"/>
      <c r="F8" s="1046"/>
      <c r="G8" s="1046"/>
      <c r="H8" s="1046"/>
      <c r="I8" s="1046"/>
    </row>
    <row r="9" spans="1:9" x14ac:dyDescent="0.25">
      <c r="A9" s="341"/>
      <c r="B9" s="341"/>
      <c r="C9" s="83"/>
      <c r="D9" s="83"/>
      <c r="E9" s="83"/>
      <c r="F9" s="83"/>
      <c r="G9" s="83"/>
      <c r="H9" s="83"/>
      <c r="I9" s="83"/>
    </row>
    <row r="10" spans="1:9" ht="39.6" customHeight="1" x14ac:dyDescent="0.25">
      <c r="A10" s="944" t="s">
        <v>550</v>
      </c>
      <c r="B10" s="944"/>
      <c r="C10" s="942"/>
      <c r="D10" s="942"/>
      <c r="E10" s="942"/>
      <c r="F10" s="942"/>
      <c r="G10" s="942"/>
      <c r="H10" s="942"/>
      <c r="I10" s="942"/>
    </row>
    <row r="11" spans="1:9" ht="13.2" customHeight="1" x14ac:dyDescent="0.25">
      <c r="A11" s="947" t="s">
        <v>1398</v>
      </c>
      <c r="B11" s="947"/>
      <c r="C11" s="942"/>
      <c r="D11" s="942"/>
      <c r="E11" s="942"/>
      <c r="F11" s="942"/>
      <c r="G11" s="942"/>
      <c r="H11" s="942"/>
      <c r="I11" s="942"/>
    </row>
    <row r="12" spans="1:9" ht="13.2" customHeight="1" x14ac:dyDescent="0.25">
      <c r="A12" s="947" t="s">
        <v>1180</v>
      </c>
      <c r="B12" s="947"/>
      <c r="C12" s="942"/>
      <c r="D12" s="942"/>
      <c r="E12" s="942"/>
      <c r="F12" s="942"/>
      <c r="G12" s="942"/>
      <c r="H12" s="942"/>
      <c r="I12" s="942"/>
    </row>
    <row r="13" spans="1:9" ht="13.2" customHeight="1" x14ac:dyDescent="0.25">
      <c r="A13" s="947" t="s">
        <v>1181</v>
      </c>
      <c r="B13" s="947"/>
      <c r="C13" s="942"/>
      <c r="D13" s="942"/>
      <c r="E13" s="942"/>
      <c r="F13" s="942"/>
      <c r="G13" s="942"/>
      <c r="H13" s="942"/>
      <c r="I13" s="942"/>
    </row>
    <row r="14" spans="1:9" ht="13.2" customHeight="1" x14ac:dyDescent="0.25">
      <c r="A14" s="947" t="s">
        <v>1182</v>
      </c>
      <c r="B14" s="947"/>
      <c r="C14" s="942"/>
      <c r="D14" s="942"/>
      <c r="E14" s="942"/>
      <c r="F14" s="942"/>
      <c r="G14" s="942"/>
      <c r="H14" s="942"/>
      <c r="I14" s="942"/>
    </row>
    <row r="15" spans="1:9" x14ac:dyDescent="0.25">
      <c r="A15" s="341"/>
      <c r="B15" s="341"/>
      <c r="C15" s="83"/>
      <c r="D15" s="83"/>
      <c r="E15" s="83"/>
      <c r="F15" s="83"/>
      <c r="G15" s="83"/>
      <c r="H15" s="83"/>
      <c r="I15" s="83"/>
    </row>
    <row r="16" spans="1:9" ht="26.4" customHeight="1" x14ac:dyDescent="0.25">
      <c r="A16" s="944" t="s">
        <v>407</v>
      </c>
      <c r="B16" s="944"/>
      <c r="C16" s="942"/>
      <c r="D16" s="942"/>
      <c r="E16" s="942"/>
      <c r="F16" s="942"/>
      <c r="G16" s="942"/>
      <c r="H16" s="942"/>
      <c r="I16" s="942"/>
    </row>
    <row r="17" spans="1:9" x14ac:dyDescent="0.25">
      <c r="A17" s="947" t="s">
        <v>1183</v>
      </c>
      <c r="B17" s="947"/>
      <c r="C17" s="942"/>
      <c r="D17" s="942"/>
      <c r="E17" s="942"/>
      <c r="F17" s="942"/>
      <c r="G17" s="942"/>
      <c r="H17" s="942"/>
      <c r="I17" s="942"/>
    </row>
    <row r="18" spans="1:9" x14ac:dyDescent="0.25">
      <c r="A18" s="947" t="s">
        <v>1184</v>
      </c>
      <c r="B18" s="947"/>
      <c r="C18" s="942"/>
      <c r="D18" s="942"/>
      <c r="E18" s="942"/>
      <c r="F18" s="942"/>
      <c r="G18" s="942"/>
      <c r="H18" s="942"/>
      <c r="I18" s="942"/>
    </row>
    <row r="19" spans="1:9" x14ac:dyDescent="0.25">
      <c r="A19" s="947" t="s">
        <v>1185</v>
      </c>
      <c r="B19" s="947"/>
      <c r="C19" s="942"/>
      <c r="D19" s="942"/>
      <c r="E19" s="942"/>
      <c r="F19" s="942"/>
      <c r="G19" s="942"/>
      <c r="H19" s="942"/>
      <c r="I19" s="942"/>
    </row>
    <row r="20" spans="1:9" x14ac:dyDescent="0.25">
      <c r="A20" s="947" t="s">
        <v>1186</v>
      </c>
      <c r="B20" s="947"/>
      <c r="C20" s="942"/>
      <c r="D20" s="942"/>
      <c r="E20" s="942"/>
      <c r="F20" s="942"/>
      <c r="G20" s="942"/>
      <c r="H20" s="942"/>
      <c r="I20" s="942"/>
    </row>
    <row r="21" spans="1:9" x14ac:dyDescent="0.25">
      <c r="A21" s="779"/>
      <c r="B21" s="341"/>
      <c r="C21" s="83"/>
      <c r="D21" s="83"/>
      <c r="E21" s="83"/>
      <c r="F21" s="83"/>
      <c r="G21" s="83"/>
      <c r="H21" s="83"/>
      <c r="I21" s="83"/>
    </row>
    <row r="22" spans="1:9" ht="26.4" customHeight="1" x14ac:dyDescent="0.25">
      <c r="A22" s="944" t="s">
        <v>551</v>
      </c>
      <c r="B22" s="944"/>
      <c r="C22" s="942"/>
      <c r="D22" s="942"/>
      <c r="E22" s="942"/>
      <c r="F22" s="942"/>
      <c r="G22" s="942"/>
      <c r="H22" s="942"/>
      <c r="I22" s="942"/>
    </row>
    <row r="23" spans="1:9" x14ac:dyDescent="0.25">
      <c r="A23" s="341"/>
      <c r="B23" s="341"/>
      <c r="C23" s="83"/>
      <c r="D23" s="83"/>
      <c r="E23" s="83"/>
      <c r="F23" s="83"/>
      <c r="G23" s="83"/>
      <c r="H23" s="83"/>
      <c r="I23" s="83"/>
    </row>
    <row r="24" spans="1:9" x14ac:dyDescent="0.25">
      <c r="A24" s="952" t="s">
        <v>988</v>
      </c>
      <c r="B24" s="941"/>
      <c r="C24" s="83"/>
      <c r="D24" s="83"/>
      <c r="E24" s="83"/>
      <c r="F24" s="83"/>
      <c r="G24" s="83"/>
      <c r="H24" s="83"/>
      <c r="I24" s="83"/>
    </row>
    <row r="25" spans="1:9" s="125" customFormat="1" ht="39.6" customHeight="1" x14ac:dyDescent="0.25">
      <c r="A25" s="1046" t="s">
        <v>1289</v>
      </c>
      <c r="B25" s="1046"/>
      <c r="C25" s="1046"/>
      <c r="D25" s="1046"/>
      <c r="E25" s="1046"/>
      <c r="F25" s="1046"/>
      <c r="G25" s="1046"/>
      <c r="H25" s="1046"/>
      <c r="I25" s="1046"/>
    </row>
    <row r="26" spans="1:9" ht="12.75" customHeight="1" x14ac:dyDescent="0.25">
      <c r="A26" s="379"/>
      <c r="B26" s="379"/>
      <c r="C26" s="379"/>
      <c r="D26" s="379" t="s">
        <v>331</v>
      </c>
      <c r="E26" s="379" t="s">
        <v>143</v>
      </c>
      <c r="F26" s="1033" t="s">
        <v>144</v>
      </c>
      <c r="G26" s="1033"/>
      <c r="H26" s="1033"/>
      <c r="I26" s="379" t="s">
        <v>146</v>
      </c>
    </row>
    <row r="27" spans="1:9" ht="12.75" customHeight="1" x14ac:dyDescent="0.25">
      <c r="A27" s="342"/>
      <c r="B27" s="342"/>
      <c r="C27" s="379"/>
      <c r="D27" s="379" t="s">
        <v>332</v>
      </c>
      <c r="E27" s="379"/>
      <c r="F27" s="1033" t="s">
        <v>145</v>
      </c>
      <c r="G27" s="1033"/>
      <c r="H27" s="1033"/>
      <c r="I27" s="379"/>
    </row>
    <row r="28" spans="1:9" x14ac:dyDescent="0.25">
      <c r="A28" s="342" t="s">
        <v>424</v>
      </c>
      <c r="B28" s="342"/>
      <c r="C28" s="379"/>
      <c r="D28" s="379" t="s">
        <v>408</v>
      </c>
      <c r="E28" s="379" t="s">
        <v>409</v>
      </c>
      <c r="F28" s="379" t="s">
        <v>558</v>
      </c>
      <c r="G28" s="379" t="s">
        <v>734</v>
      </c>
      <c r="H28" s="379" t="s">
        <v>1063</v>
      </c>
      <c r="I28" s="379" t="s">
        <v>147</v>
      </c>
    </row>
    <row r="29" spans="1:9" x14ac:dyDescent="0.25">
      <c r="A29" s="379"/>
      <c r="B29" s="379"/>
      <c r="C29" s="379"/>
      <c r="D29" s="379" t="s">
        <v>298</v>
      </c>
      <c r="E29" s="379" t="s">
        <v>298</v>
      </c>
      <c r="F29" s="379" t="s">
        <v>298</v>
      </c>
      <c r="G29" s="379" t="s">
        <v>298</v>
      </c>
      <c r="H29" s="379" t="s">
        <v>298</v>
      </c>
      <c r="I29" s="379"/>
    </row>
    <row r="30" spans="1:9" x14ac:dyDescent="0.25">
      <c r="A30" s="1117" t="s">
        <v>422</v>
      </c>
      <c r="B30" s="1098"/>
      <c r="D30" s="596">
        <f>+'3'!C64</f>
        <v>-1922</v>
      </c>
      <c r="E30" s="610">
        <f>+'3'!D64</f>
        <v>1045</v>
      </c>
      <c r="F30" s="596">
        <f>+'3'!E64</f>
        <v>5398</v>
      </c>
      <c r="G30" s="596">
        <f>+'3'!F64</f>
        <v>-1754</v>
      </c>
      <c r="H30" s="596">
        <f>+'3'!G64</f>
        <v>-1570</v>
      </c>
      <c r="I30" s="57" t="s">
        <v>148</v>
      </c>
    </row>
    <row r="31" spans="1:9" x14ac:dyDescent="0.25">
      <c r="A31" s="1117" t="s">
        <v>426</v>
      </c>
      <c r="B31" s="1098"/>
      <c r="D31" s="596">
        <f>+'3'!C64-'3'!C47-'3'!C48+'10'!D13</f>
        <v>-4676</v>
      </c>
      <c r="E31" s="610">
        <f>+'3'!D64-'3'!D47-'3'!D48+'10'!E13</f>
        <v>-4453</v>
      </c>
      <c r="F31" s="596">
        <f>+'3'!E64-SUM('3'!E47:E48)</f>
        <v>4927</v>
      </c>
      <c r="G31" s="596">
        <f>+'3'!F64-SUM('3'!F47:F48)</f>
        <v>-2124</v>
      </c>
      <c r="H31" s="596">
        <f>+'3'!G64-SUM('3'!G47:G48)</f>
        <v>-1920</v>
      </c>
      <c r="I31" s="57" t="s">
        <v>149</v>
      </c>
    </row>
    <row r="32" spans="1:9" x14ac:dyDescent="0.25">
      <c r="A32" s="1117" t="s">
        <v>552</v>
      </c>
      <c r="B32" s="1098"/>
      <c r="D32" s="596">
        <f>+'3'!C83</f>
        <v>23476</v>
      </c>
      <c r="E32" s="610">
        <f>+'3'!D83</f>
        <v>12207</v>
      </c>
      <c r="F32" s="596">
        <f>+'3'!E83</f>
        <v>12428</v>
      </c>
      <c r="G32" s="596">
        <f>+'3'!F83</f>
        <v>12776</v>
      </c>
      <c r="H32" s="596">
        <f>+'3'!G83</f>
        <v>13028</v>
      </c>
      <c r="I32" s="57" t="s">
        <v>341</v>
      </c>
    </row>
    <row r="33" spans="1:9" x14ac:dyDescent="0.25">
      <c r="A33" s="1118" t="s">
        <v>77</v>
      </c>
      <c r="B33" s="1098"/>
      <c r="D33" s="596">
        <f>+'3'!C192</f>
        <v>11922</v>
      </c>
      <c r="E33" s="610">
        <f>+'3'!D192</f>
        <v>15459</v>
      </c>
      <c r="F33" s="596">
        <f>+'3'!E192</f>
        <v>20492</v>
      </c>
      <c r="G33" s="596">
        <f>+'3'!F192</f>
        <v>14052</v>
      </c>
      <c r="H33" s="596">
        <f>+'3'!G192</f>
        <v>14687</v>
      </c>
      <c r="I33" s="57" t="s">
        <v>148</v>
      </c>
    </row>
    <row r="34" spans="1:9" x14ac:dyDescent="0.25">
      <c r="A34" s="1119" t="s">
        <v>553</v>
      </c>
      <c r="B34" s="1092"/>
      <c r="C34" s="711"/>
      <c r="D34" s="613">
        <f>+'3'!C247</f>
        <v>22617</v>
      </c>
      <c r="E34" s="627">
        <f>+'3'!D247</f>
        <v>30717</v>
      </c>
      <c r="F34" s="613">
        <f>+'3'!E247</f>
        <v>23242</v>
      </c>
      <c r="G34" s="613">
        <f>+'3'!F247</f>
        <v>18530</v>
      </c>
      <c r="H34" s="613">
        <f>+'3'!G247</f>
        <v>17349</v>
      </c>
      <c r="I34" s="59" t="s">
        <v>148</v>
      </c>
    </row>
    <row r="35" spans="1:9" x14ac:dyDescent="0.25">
      <c r="A35" s="341"/>
      <c r="B35" s="341"/>
      <c r="C35" s="83"/>
      <c r="D35" s="83"/>
      <c r="E35" s="83"/>
      <c r="F35" s="83"/>
      <c r="G35" s="83"/>
      <c r="H35" s="83"/>
      <c r="I35" s="83"/>
    </row>
    <row r="36" spans="1:9" x14ac:dyDescent="0.25">
      <c r="A36" s="1042" t="s">
        <v>342</v>
      </c>
      <c r="B36" s="1042"/>
      <c r="C36" s="712"/>
      <c r="D36" s="712"/>
      <c r="E36" s="712"/>
      <c r="F36" s="712"/>
      <c r="G36" s="712"/>
      <c r="H36" s="712"/>
      <c r="I36" s="712"/>
    </row>
    <row r="37" spans="1:9" x14ac:dyDescent="0.25">
      <c r="A37" s="1042" t="s">
        <v>797</v>
      </c>
      <c r="B37" s="1042"/>
      <c r="C37" s="1042"/>
      <c r="D37" s="1042"/>
      <c r="E37" s="1042"/>
      <c r="F37" s="1042"/>
      <c r="G37" s="1042"/>
      <c r="H37" s="1042"/>
      <c r="I37" s="1042"/>
    </row>
    <row r="38" spans="1:9" x14ac:dyDescent="0.25">
      <c r="A38" s="1042" t="s">
        <v>798</v>
      </c>
      <c r="B38" s="1042"/>
      <c r="C38" s="1042"/>
      <c r="D38" s="1042"/>
      <c r="E38" s="1042"/>
      <c r="F38" s="1042"/>
      <c r="G38" s="1042"/>
      <c r="H38" s="1042"/>
      <c r="I38" s="1042"/>
    </row>
    <row r="39" spans="1:9" x14ac:dyDescent="0.25">
      <c r="A39" s="1042" t="s">
        <v>799</v>
      </c>
      <c r="B39" s="1042"/>
      <c r="C39" s="1042"/>
      <c r="D39" s="1042"/>
      <c r="E39" s="1042"/>
      <c r="F39" s="1042"/>
      <c r="G39" s="1042"/>
      <c r="H39" s="1042"/>
      <c r="I39" s="1042"/>
    </row>
    <row r="40" spans="1:9" x14ac:dyDescent="0.25">
      <c r="A40" s="83"/>
      <c r="B40" s="83"/>
      <c r="C40" s="83"/>
      <c r="D40" s="83"/>
      <c r="E40" s="83"/>
      <c r="F40" s="83"/>
      <c r="G40" s="83"/>
      <c r="H40" s="83"/>
      <c r="I40" s="83"/>
    </row>
    <row r="41" spans="1:9" x14ac:dyDescent="0.25">
      <c r="A41" s="944" t="s">
        <v>343</v>
      </c>
      <c r="B41" s="944"/>
      <c r="C41" s="942"/>
      <c r="D41" s="942"/>
      <c r="E41" s="942"/>
      <c r="F41" s="942"/>
      <c r="G41" s="942"/>
      <c r="H41" s="942"/>
      <c r="I41" s="942"/>
    </row>
    <row r="42" spans="1:9" x14ac:dyDescent="0.25">
      <c r="A42" s="341"/>
      <c r="B42" s="341"/>
      <c r="C42" s="83"/>
      <c r="D42" s="83"/>
      <c r="E42" s="83"/>
      <c r="F42" s="83"/>
      <c r="G42" s="83"/>
      <c r="H42" s="83"/>
      <c r="I42" s="83"/>
    </row>
    <row r="43" spans="1:9" ht="240.75" customHeight="1" x14ac:dyDescent="0.25">
      <c r="A43" s="83"/>
      <c r="B43" s="83"/>
      <c r="C43" s="83"/>
      <c r="D43" s="83"/>
      <c r="E43" s="83"/>
      <c r="F43" s="83"/>
      <c r="G43" s="83"/>
      <c r="H43" s="83"/>
      <c r="I43" s="83"/>
    </row>
    <row r="44" spans="1:9" ht="14.25" customHeight="1" x14ac:dyDescent="0.25">
      <c r="A44" s="944" t="s">
        <v>344</v>
      </c>
      <c r="B44" s="944"/>
      <c r="C44" s="944"/>
      <c r="D44" s="944"/>
      <c r="E44" s="944"/>
      <c r="F44" s="944"/>
      <c r="G44" s="944"/>
      <c r="H44" s="944"/>
      <c r="I44" s="944"/>
    </row>
    <row r="45" spans="1:9" ht="39.6" customHeight="1" x14ac:dyDescent="0.25">
      <c r="A45" s="959" t="s">
        <v>1188</v>
      </c>
      <c r="B45" s="959"/>
      <c r="C45" s="947"/>
      <c r="D45" s="947"/>
      <c r="E45" s="947"/>
      <c r="F45" s="947"/>
      <c r="G45" s="947"/>
      <c r="H45" s="947"/>
      <c r="I45" s="947"/>
    </row>
    <row r="46" spans="1:9" ht="26.4" customHeight="1" x14ac:dyDescent="0.25">
      <c r="A46" s="1120" t="s">
        <v>1401</v>
      </c>
      <c r="B46" s="1120"/>
      <c r="C46" s="1121"/>
      <c r="D46" s="1121"/>
      <c r="E46" s="1121"/>
      <c r="F46" s="1121"/>
      <c r="G46" s="1121"/>
      <c r="H46" s="1121"/>
      <c r="I46" s="1121"/>
    </row>
    <row r="47" spans="1:9" ht="102" customHeight="1" x14ac:dyDescent="0.25">
      <c r="A47" s="949" t="s">
        <v>1290</v>
      </c>
      <c r="B47" s="949"/>
      <c r="C47" s="944"/>
      <c r="D47" s="944"/>
      <c r="E47" s="944"/>
      <c r="F47" s="944"/>
      <c r="G47" s="944"/>
      <c r="H47" s="944"/>
      <c r="I47" s="944"/>
    </row>
    <row r="48" spans="1:9" ht="26.4" customHeight="1" x14ac:dyDescent="0.25">
      <c r="A48" s="959" t="s">
        <v>1291</v>
      </c>
      <c r="B48" s="959"/>
      <c r="C48" s="947"/>
      <c r="D48" s="947"/>
      <c r="E48" s="947"/>
      <c r="F48" s="947"/>
      <c r="G48" s="947"/>
      <c r="H48" s="947"/>
      <c r="I48" s="947"/>
    </row>
    <row r="49" spans="1:9" ht="38.25" customHeight="1" x14ac:dyDescent="0.25">
      <c r="A49" s="959" t="s">
        <v>1292</v>
      </c>
      <c r="B49" s="959"/>
      <c r="C49" s="947"/>
      <c r="D49" s="947"/>
      <c r="E49" s="947"/>
      <c r="F49" s="947"/>
      <c r="G49" s="947"/>
      <c r="H49" s="947"/>
      <c r="I49" s="947"/>
    </row>
    <row r="50" spans="1:9" x14ac:dyDescent="0.25">
      <c r="A50" s="83"/>
      <c r="B50" s="83"/>
      <c r="C50" s="83"/>
      <c r="D50" s="83"/>
      <c r="E50" s="83"/>
      <c r="F50" s="83"/>
      <c r="G50" s="83"/>
      <c r="H50" s="83"/>
      <c r="I50" s="83"/>
    </row>
    <row r="51" spans="1:9" x14ac:dyDescent="0.25">
      <c r="A51" s="251"/>
      <c r="B51" s="251"/>
      <c r="C51" s="251"/>
      <c r="D51" s="251"/>
      <c r="E51" s="251"/>
      <c r="F51" s="251"/>
      <c r="G51" s="251"/>
      <c r="H51" s="251"/>
      <c r="I51" s="251"/>
    </row>
    <row r="52" spans="1:9" x14ac:dyDescent="0.25">
      <c r="A52" s="310"/>
      <c r="B52" s="310"/>
      <c r="C52" s="63"/>
      <c r="D52" s="63"/>
      <c r="E52" s="63"/>
      <c r="F52" s="63"/>
      <c r="G52" s="63"/>
      <c r="H52" s="63"/>
      <c r="I52" s="63"/>
    </row>
  </sheetData>
  <mergeCells count="35">
    <mergeCell ref="A45:I45"/>
    <mergeCell ref="A46:I46"/>
    <mergeCell ref="A47:I47"/>
    <mergeCell ref="A48:I48"/>
    <mergeCell ref="A49:I49"/>
    <mergeCell ref="A44:I44"/>
    <mergeCell ref="F27:H27"/>
    <mergeCell ref="A30:B30"/>
    <mergeCell ref="A31:B31"/>
    <mergeCell ref="A32:B32"/>
    <mergeCell ref="A33:B33"/>
    <mergeCell ref="A34:B34"/>
    <mergeCell ref="A36:B36"/>
    <mergeCell ref="A37:I37"/>
    <mergeCell ref="A38:I38"/>
    <mergeCell ref="A39:I39"/>
    <mergeCell ref="A41:I41"/>
    <mergeCell ref="F26:H26"/>
    <mergeCell ref="A12:I12"/>
    <mergeCell ref="A13:I13"/>
    <mergeCell ref="A14:I14"/>
    <mergeCell ref="A16:I16"/>
    <mergeCell ref="A17:I17"/>
    <mergeCell ref="A18:I18"/>
    <mergeCell ref="A19:I19"/>
    <mergeCell ref="A20:I20"/>
    <mergeCell ref="A22:I22"/>
    <mergeCell ref="A24:B24"/>
    <mergeCell ref="A25:I25"/>
    <mergeCell ref="A11:I11"/>
    <mergeCell ref="A3:I3"/>
    <mergeCell ref="A5:B5"/>
    <mergeCell ref="A6:I6"/>
    <mergeCell ref="A8:I8"/>
    <mergeCell ref="A10:I10"/>
  </mergeCells>
  <pageMargins left="0.74803149606299213" right="0.74803149606299213" top="0.98425196850393704" bottom="0.98425196850393704" header="0.51181102362204722" footer="0.51181102362204722"/>
  <pageSetup paperSize="9" firstPageNumber="74" orientation="portrait" useFirstPageNumber="1" r:id="rId1"/>
  <headerFooter alignWithMargins="0">
    <oddFooter>&amp;L&amp;8Chartered Accountants Australia New Zealand&amp;C&amp;9&amp;P&amp;R&amp;8VICTORIAN CITY COUNCIL</oddFooter>
  </headerFooter>
  <rowBreaks count="1" manualBreakCount="1">
    <brk id="40" max="8"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topLeftCell="A28" zoomScaleNormal="100" zoomScaleSheetLayoutView="100" zoomScalePageLayoutView="55" workbookViewId="0">
      <selection activeCell="A40" sqref="A40"/>
    </sheetView>
  </sheetViews>
  <sheetFormatPr defaultColWidth="9.109375" defaultRowHeight="13.2" x14ac:dyDescent="0.25"/>
  <cols>
    <col min="1" max="1" width="29" style="314" customWidth="1"/>
    <col min="2" max="2" width="9.109375" style="340" customWidth="1"/>
    <col min="3" max="5" width="12" style="340" customWidth="1"/>
    <col min="6" max="6" width="11.109375" style="340" customWidth="1"/>
    <col min="7" max="7" width="10.5546875" style="63" customWidth="1"/>
    <col min="8" max="8" width="10" style="63" customWidth="1"/>
    <col min="9" max="16384" width="9.109375" style="63"/>
  </cols>
  <sheetData>
    <row r="1" spans="1:6" ht="16.8" x14ac:dyDescent="0.25">
      <c r="A1" s="331" t="s">
        <v>1006</v>
      </c>
      <c r="B1" s="710"/>
      <c r="C1" s="710"/>
      <c r="D1" s="710"/>
      <c r="E1" s="710"/>
      <c r="F1" s="710"/>
    </row>
    <row r="2" spans="1:6" x14ac:dyDescent="0.25">
      <c r="A2" s="83"/>
      <c r="B2" s="83"/>
      <c r="C2" s="83"/>
      <c r="D2" s="83"/>
    </row>
    <row r="3" spans="1:6" ht="38.25" customHeight="1" x14ac:dyDescent="0.25">
      <c r="A3" s="949" t="s">
        <v>1399</v>
      </c>
      <c r="B3" s="944"/>
      <c r="C3" s="944"/>
      <c r="D3" s="944"/>
      <c r="E3" s="944"/>
      <c r="F3" s="944"/>
    </row>
    <row r="4" spans="1:6" ht="12.75" customHeight="1" x14ac:dyDescent="0.25">
      <c r="A4" s="341"/>
      <c r="B4" s="83"/>
      <c r="C4" s="83"/>
      <c r="D4" s="83"/>
    </row>
    <row r="5" spans="1:6" x14ac:dyDescent="0.25">
      <c r="A5" s="308" t="s">
        <v>1007</v>
      </c>
      <c r="B5" s="83"/>
      <c r="C5" s="83"/>
      <c r="D5" s="83"/>
      <c r="E5" s="83"/>
      <c r="F5" s="83"/>
    </row>
    <row r="6" spans="1:6" ht="79.2" customHeight="1" x14ac:dyDescent="0.25">
      <c r="A6" s="944" t="s">
        <v>1293</v>
      </c>
      <c r="B6" s="944"/>
      <c r="C6" s="944"/>
      <c r="D6" s="944"/>
      <c r="E6" s="944"/>
      <c r="F6" s="944"/>
    </row>
    <row r="7" spans="1:6" x14ac:dyDescent="0.25">
      <c r="A7" s="341"/>
      <c r="B7" s="83"/>
      <c r="C7" s="83"/>
      <c r="D7" s="83"/>
    </row>
    <row r="8" spans="1:6" ht="13.5" customHeight="1" x14ac:dyDescent="0.25">
      <c r="A8" s="308" t="s">
        <v>1402</v>
      </c>
      <c r="B8" s="83"/>
      <c r="C8" s="83"/>
      <c r="D8" s="83"/>
      <c r="E8" s="83"/>
      <c r="F8" s="83"/>
    </row>
    <row r="9" spans="1:6" ht="39.6" customHeight="1" x14ac:dyDescent="0.25">
      <c r="A9" s="944" t="s">
        <v>1400</v>
      </c>
      <c r="B9" s="941"/>
      <c r="C9" s="941"/>
      <c r="D9" s="941"/>
      <c r="E9" s="941"/>
      <c r="F9" s="941"/>
    </row>
    <row r="10" spans="1:6" x14ac:dyDescent="0.25">
      <c r="A10" s="341"/>
      <c r="B10" s="83"/>
      <c r="C10" s="83"/>
      <c r="D10" s="83"/>
    </row>
    <row r="11" spans="1:6" x14ac:dyDescent="0.25">
      <c r="A11" s="894"/>
      <c r="B11" s="491" t="s">
        <v>629</v>
      </c>
      <c r="C11" s="491" t="s">
        <v>630</v>
      </c>
      <c r="D11" s="491" t="s">
        <v>632</v>
      </c>
      <c r="E11" s="491" t="s">
        <v>441</v>
      </c>
      <c r="F11" s="491" t="s">
        <v>439</v>
      </c>
    </row>
    <row r="12" spans="1:6" x14ac:dyDescent="0.25">
      <c r="A12" s="491"/>
      <c r="B12" s="491" t="s">
        <v>101</v>
      </c>
      <c r="C12" s="491" t="s">
        <v>631</v>
      </c>
      <c r="D12" s="491" t="s">
        <v>631</v>
      </c>
      <c r="E12" s="491" t="s">
        <v>631</v>
      </c>
      <c r="F12" s="491" t="s">
        <v>633</v>
      </c>
    </row>
    <row r="13" spans="1:6" x14ac:dyDescent="0.25">
      <c r="A13" s="491" t="s">
        <v>99</v>
      </c>
      <c r="B13" s="491" t="s">
        <v>102</v>
      </c>
      <c r="C13" s="491" t="s">
        <v>102</v>
      </c>
      <c r="D13" s="491" t="s">
        <v>102</v>
      </c>
      <c r="E13" s="491" t="s">
        <v>102</v>
      </c>
      <c r="F13" s="491" t="s">
        <v>103</v>
      </c>
    </row>
    <row r="14" spans="1:6" x14ac:dyDescent="0.25">
      <c r="A14" s="491"/>
      <c r="B14" s="491" t="s">
        <v>104</v>
      </c>
      <c r="C14" s="491" t="s">
        <v>298</v>
      </c>
      <c r="D14" s="491" t="s">
        <v>298</v>
      </c>
      <c r="E14" s="491" t="s">
        <v>298</v>
      </c>
      <c r="F14" s="491" t="s">
        <v>298</v>
      </c>
    </row>
    <row r="15" spans="1:6" x14ac:dyDescent="0.25">
      <c r="A15" s="72" t="s">
        <v>408</v>
      </c>
      <c r="B15" s="122">
        <v>5</v>
      </c>
      <c r="C15" s="122">
        <v>5</v>
      </c>
      <c r="D15" s="122">
        <v>4.8</v>
      </c>
      <c r="E15" s="122">
        <v>5</v>
      </c>
      <c r="F15" s="120">
        <f>+'3'!C42</f>
        <v>41685</v>
      </c>
    </row>
    <row r="16" spans="1:6" x14ac:dyDescent="0.25">
      <c r="A16" s="718" t="s">
        <v>409</v>
      </c>
      <c r="B16" s="719">
        <v>2</v>
      </c>
      <c r="C16" s="719">
        <v>2</v>
      </c>
      <c r="D16" s="719">
        <v>3.9</v>
      </c>
      <c r="E16" s="719">
        <v>5.3</v>
      </c>
      <c r="F16" s="720">
        <f>+'3'!D42</f>
        <v>43457</v>
      </c>
    </row>
    <row r="17" spans="1:6" x14ac:dyDescent="0.25">
      <c r="A17" s="70" t="s">
        <v>558</v>
      </c>
      <c r="B17" s="270">
        <v>2.7</v>
      </c>
      <c r="C17" s="270">
        <f>B17</f>
        <v>2.7</v>
      </c>
      <c r="D17" s="122">
        <v>5</v>
      </c>
      <c r="E17" s="122">
        <v>5</v>
      </c>
      <c r="F17" s="120">
        <f>+'3'!E42</f>
        <v>46273</v>
      </c>
    </row>
    <row r="18" spans="1:6" x14ac:dyDescent="0.25">
      <c r="A18" s="70" t="s">
        <v>734</v>
      </c>
      <c r="B18" s="270">
        <v>2.8</v>
      </c>
      <c r="C18" s="270">
        <f t="shared" ref="C18:C19" si="0">B18</f>
        <v>2.8</v>
      </c>
      <c r="D18" s="122">
        <v>3.5</v>
      </c>
      <c r="E18" s="122">
        <v>3.5</v>
      </c>
      <c r="F18" s="120">
        <f>+'3'!F42</f>
        <v>48725</v>
      </c>
    </row>
    <row r="19" spans="1:6" x14ac:dyDescent="0.25">
      <c r="A19" s="71" t="s">
        <v>1063</v>
      </c>
      <c r="B19" s="271">
        <v>2.8</v>
      </c>
      <c r="C19" s="271">
        <f t="shared" si="0"/>
        <v>2.8</v>
      </c>
      <c r="D19" s="123">
        <v>3.5</v>
      </c>
      <c r="E19" s="123">
        <v>3.5</v>
      </c>
      <c r="F19" s="121">
        <f>+'3'!G42</f>
        <v>51263</v>
      </c>
    </row>
    <row r="20" spans="1:6" x14ac:dyDescent="0.25">
      <c r="A20" s="341"/>
      <c r="B20" s="83"/>
      <c r="C20" s="83"/>
      <c r="D20" s="83"/>
    </row>
    <row r="21" spans="1:6" ht="15.75" customHeight="1" x14ac:dyDescent="0.25">
      <c r="A21" s="1072" t="s">
        <v>1403</v>
      </c>
      <c r="B21" s="942"/>
      <c r="C21" s="942"/>
      <c r="D21" s="942"/>
      <c r="E21" s="942"/>
      <c r="F21" s="942"/>
    </row>
    <row r="22" spans="1:6" x14ac:dyDescent="0.25">
      <c r="A22" s="944" t="s">
        <v>414</v>
      </c>
      <c r="B22" s="942"/>
      <c r="C22" s="942"/>
      <c r="D22" s="942"/>
      <c r="E22" s="942"/>
      <c r="F22" s="942"/>
    </row>
    <row r="23" spans="1:6" x14ac:dyDescent="0.25">
      <c r="A23" s="947" t="s">
        <v>1189</v>
      </c>
      <c r="B23" s="942"/>
      <c r="C23" s="942"/>
      <c r="D23" s="942"/>
      <c r="E23" s="942"/>
      <c r="F23" s="942"/>
    </row>
    <row r="24" spans="1:6" x14ac:dyDescent="0.25">
      <c r="A24" s="947" t="s">
        <v>1190</v>
      </c>
      <c r="B24" s="942"/>
      <c r="C24" s="942"/>
      <c r="D24" s="942"/>
      <c r="E24" s="942"/>
      <c r="F24" s="942"/>
    </row>
    <row r="25" spans="1:6" x14ac:dyDescent="0.25">
      <c r="A25" s="947" t="s">
        <v>1294</v>
      </c>
      <c r="B25" s="942"/>
      <c r="C25" s="942"/>
      <c r="D25" s="942"/>
      <c r="E25" s="942"/>
      <c r="F25" s="942"/>
    </row>
    <row r="26" spans="1:6" x14ac:dyDescent="0.25">
      <c r="A26" s="341"/>
      <c r="B26" s="83"/>
      <c r="C26" s="83"/>
      <c r="D26" s="83"/>
    </row>
    <row r="27" spans="1:6" ht="26.4" customHeight="1" x14ac:dyDescent="0.25">
      <c r="A27" s="944" t="s">
        <v>105</v>
      </c>
      <c r="B27" s="942"/>
      <c r="C27" s="942"/>
      <c r="D27" s="942"/>
      <c r="E27" s="942"/>
      <c r="F27" s="942"/>
    </row>
    <row r="28" spans="1:6" x14ac:dyDescent="0.25">
      <c r="A28" s="341"/>
      <c r="B28" s="83"/>
      <c r="C28" s="83"/>
      <c r="D28" s="83"/>
    </row>
    <row r="29" spans="1:6" ht="52.95" customHeight="1" x14ac:dyDescent="0.25">
      <c r="A29" s="944" t="s">
        <v>415</v>
      </c>
      <c r="B29" s="942"/>
      <c r="C29" s="942"/>
      <c r="D29" s="942"/>
      <c r="E29" s="942"/>
      <c r="F29" s="942"/>
    </row>
    <row r="30" spans="1:6" x14ac:dyDescent="0.25">
      <c r="A30" s="341"/>
      <c r="B30" s="83"/>
      <c r="C30" s="83"/>
      <c r="D30" s="83"/>
    </row>
    <row r="31" spans="1:6" ht="52.95" customHeight="1" x14ac:dyDescent="0.25">
      <c r="A31" s="944" t="s">
        <v>397</v>
      </c>
      <c r="B31" s="942"/>
      <c r="C31" s="942"/>
      <c r="D31" s="942"/>
      <c r="E31" s="942"/>
      <c r="F31" s="942"/>
    </row>
    <row r="32" spans="1:6" x14ac:dyDescent="0.25">
      <c r="A32" s="341"/>
      <c r="B32" s="83"/>
      <c r="C32" s="83"/>
      <c r="D32" s="83"/>
    </row>
    <row r="33" spans="1:6" ht="114.75" customHeight="1" x14ac:dyDescent="0.25">
      <c r="A33" s="944" t="s">
        <v>556</v>
      </c>
      <c r="B33" s="942"/>
      <c r="C33" s="942"/>
      <c r="D33" s="942"/>
      <c r="E33" s="942"/>
      <c r="F33" s="942"/>
    </row>
    <row r="34" spans="1:6" x14ac:dyDescent="0.25">
      <c r="A34" s="341"/>
      <c r="B34" s="83"/>
      <c r="C34" s="83"/>
      <c r="D34" s="83"/>
    </row>
    <row r="35" spans="1:6" ht="27" customHeight="1" x14ac:dyDescent="0.25">
      <c r="A35" s="944" t="s">
        <v>1295</v>
      </c>
      <c r="B35" s="942"/>
      <c r="C35" s="942"/>
      <c r="D35" s="942"/>
      <c r="E35" s="942"/>
      <c r="F35" s="942"/>
    </row>
    <row r="36" spans="1:6" ht="26.4" x14ac:dyDescent="0.25">
      <c r="A36" s="552" t="s">
        <v>106</v>
      </c>
      <c r="B36" s="491" t="s">
        <v>107</v>
      </c>
      <c r="C36" s="552" t="s">
        <v>408</v>
      </c>
      <c r="D36" s="552" t="s">
        <v>409</v>
      </c>
      <c r="E36" s="552" t="s">
        <v>1032</v>
      </c>
      <c r="F36" s="552" t="s">
        <v>184</v>
      </c>
    </row>
    <row r="37" spans="1:6" ht="26.4" x14ac:dyDescent="0.25">
      <c r="A37" s="163" t="s">
        <v>108</v>
      </c>
      <c r="B37" s="72" t="s">
        <v>90</v>
      </c>
      <c r="C37" s="72">
        <f>+'7'!C15</f>
        <v>0.24835399999999999</v>
      </c>
      <c r="D37" s="724">
        <f>+'7'!D15</f>
        <v>0.25342199999999998</v>
      </c>
      <c r="E37" s="713">
        <f>'7'!D22</f>
        <v>22875.485000000001</v>
      </c>
      <c r="F37" s="714">
        <v>3.9E-2</v>
      </c>
    </row>
    <row r="38" spans="1:6" ht="26.4" x14ac:dyDescent="0.25">
      <c r="A38" s="322" t="s">
        <v>416</v>
      </c>
      <c r="B38" s="72" t="s">
        <v>90</v>
      </c>
      <c r="C38" s="72">
        <f>+'7'!C16</f>
        <v>0.434116</v>
      </c>
      <c r="D38" s="724">
        <f>+'7'!D16</f>
        <v>0.44297599999999998</v>
      </c>
      <c r="E38" s="713">
        <f>'7'!D23</f>
        <v>4159.6019999999999</v>
      </c>
      <c r="F38" s="714">
        <v>1.2999999999999999E-2</v>
      </c>
    </row>
    <row r="39" spans="1:6" ht="26.4" x14ac:dyDescent="0.25">
      <c r="A39" s="163" t="s">
        <v>781</v>
      </c>
      <c r="B39" s="72" t="s">
        <v>90</v>
      </c>
      <c r="C39" s="72">
        <f>+'7'!C17</f>
        <v>0.434116</v>
      </c>
      <c r="D39" s="724">
        <f>+'7'!D17</f>
        <v>0.44297599999999998</v>
      </c>
      <c r="E39" s="713">
        <f>'7'!D24</f>
        <v>3605.0529999999999</v>
      </c>
      <c r="F39" s="714">
        <v>1.2999999999999999E-2</v>
      </c>
    </row>
    <row r="40" spans="1:6" ht="26.4" x14ac:dyDescent="0.25">
      <c r="A40" s="163" t="s">
        <v>109</v>
      </c>
      <c r="B40" s="72" t="s">
        <v>91</v>
      </c>
      <c r="C40" s="715">
        <f>+'7'!C49</f>
        <v>105</v>
      </c>
      <c r="D40" s="725">
        <f>+'7'!D49</f>
        <v>107</v>
      </c>
      <c r="E40" s="713">
        <f>'7'!D54</f>
        <v>6110.5559999999996</v>
      </c>
      <c r="F40" s="714">
        <v>0.03</v>
      </c>
    </row>
    <row r="41" spans="1:6" ht="26.4" x14ac:dyDescent="0.25">
      <c r="A41" s="163" t="s">
        <v>110</v>
      </c>
      <c r="B41" s="72" t="s">
        <v>91</v>
      </c>
      <c r="C41" s="715">
        <f>+'7'!C60</f>
        <v>77</v>
      </c>
      <c r="D41" s="725">
        <f>+'7'!D60</f>
        <v>80</v>
      </c>
      <c r="E41" s="713">
        <f>'7'!D67</f>
        <v>4568.6400000000003</v>
      </c>
      <c r="F41" s="714">
        <f>+'7'!E60</f>
        <v>3.9E-2</v>
      </c>
    </row>
    <row r="42" spans="1:6" ht="26.4" x14ac:dyDescent="0.25">
      <c r="A42" s="323" t="s">
        <v>111</v>
      </c>
      <c r="B42" s="71" t="s">
        <v>91</v>
      </c>
      <c r="C42" s="721">
        <f>+'7'!C61</f>
        <v>19</v>
      </c>
      <c r="D42" s="726">
        <f>+'7'!D61</f>
        <v>20</v>
      </c>
      <c r="E42" s="722">
        <f>'7'!D68</f>
        <v>1142.1600000000001</v>
      </c>
      <c r="F42" s="723">
        <f>+'7'!E61</f>
        <v>5.2999999999999999E-2</v>
      </c>
    </row>
    <row r="43" spans="1:6" x14ac:dyDescent="0.25">
      <c r="B43" s="70"/>
      <c r="C43" s="716"/>
      <c r="D43" s="717"/>
    </row>
    <row r="44" spans="1:6" ht="26.4" customHeight="1" x14ac:dyDescent="0.25">
      <c r="A44" s="944" t="s">
        <v>423</v>
      </c>
      <c r="B44" s="944"/>
      <c r="C44" s="944"/>
      <c r="D44" s="944"/>
      <c r="E44" s="944"/>
      <c r="F44" s="944"/>
    </row>
    <row r="45" spans="1:6" ht="12.75" customHeight="1" x14ac:dyDescent="0.25">
      <c r="A45" s="304"/>
      <c r="B45" s="304"/>
      <c r="C45" s="304"/>
      <c r="D45" s="304"/>
      <c r="E45" s="304"/>
      <c r="F45" s="304"/>
    </row>
    <row r="49" ht="382.5" customHeight="1" x14ac:dyDescent="0.25"/>
  </sheetData>
  <mergeCells count="14">
    <mergeCell ref="A21:F21"/>
    <mergeCell ref="A22:F22"/>
    <mergeCell ref="A9:F9"/>
    <mergeCell ref="A3:F3"/>
    <mergeCell ref="A6:F6"/>
    <mergeCell ref="A44:F44"/>
    <mergeCell ref="A24:F24"/>
    <mergeCell ref="A27:F27"/>
    <mergeCell ref="A25:F25"/>
    <mergeCell ref="A23:F23"/>
    <mergeCell ref="A29:F29"/>
    <mergeCell ref="A31:F31"/>
    <mergeCell ref="A33:F33"/>
    <mergeCell ref="A35:F35"/>
  </mergeCells>
  <phoneticPr fontId="11" type="noConversion"/>
  <pageMargins left="0.74803149606299213" right="0.74803149606299213" top="0.98425196850393704" bottom="0.98425196850393704" header="0.51181102362204722" footer="0.51181102362204722"/>
  <pageSetup paperSize="9" firstPageNumber="76" orientation="portrait" useFirstPageNumber="1" r:id="rId1"/>
  <headerFooter alignWithMargins="0">
    <oddFooter>&amp;L&amp;8Chartered Accountants Australia New Zealand&amp;C&amp;9&amp;P&amp;R&amp;8VICTORIAN CITY COUNCIL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9"/>
  <sheetViews>
    <sheetView showGridLines="0" view="pageBreakPreview" topLeftCell="A40" zoomScaleNormal="100" zoomScaleSheetLayoutView="100" workbookViewId="0">
      <selection activeCell="A40" sqref="A40"/>
    </sheetView>
  </sheetViews>
  <sheetFormatPr defaultColWidth="9.109375" defaultRowHeight="13.2" x14ac:dyDescent="0.25"/>
  <cols>
    <col min="1" max="1" width="12.5546875" style="314" customWidth="1"/>
    <col min="2" max="2" width="9.109375" style="314" customWidth="1"/>
    <col min="3" max="6" width="12.5546875" style="340" customWidth="1"/>
    <col min="7" max="7" width="14.5546875" style="340" customWidth="1"/>
    <col min="8" max="8" width="10.5546875" style="63" customWidth="1"/>
    <col min="9" max="9" width="13.33203125" style="63" customWidth="1"/>
    <col min="10" max="16384" width="9.109375" style="63"/>
  </cols>
  <sheetData>
    <row r="1" spans="1:15" ht="16.8" x14ac:dyDescent="0.25">
      <c r="A1" s="331" t="s">
        <v>1008</v>
      </c>
      <c r="B1" s="710"/>
      <c r="C1" s="710"/>
      <c r="D1" s="710"/>
      <c r="E1" s="710"/>
      <c r="F1" s="710"/>
      <c r="G1" s="710"/>
    </row>
    <row r="2" spans="1:15" x14ac:dyDescent="0.25">
      <c r="A2" s="83"/>
      <c r="B2" s="83"/>
      <c r="C2" s="83"/>
      <c r="D2" s="83"/>
      <c r="E2" s="83"/>
      <c r="F2" s="83"/>
      <c r="G2" s="83"/>
    </row>
    <row r="3" spans="1:15" ht="25.5" customHeight="1" x14ac:dyDescent="0.25">
      <c r="A3" s="949" t="s">
        <v>1405</v>
      </c>
      <c r="B3" s="944"/>
      <c r="C3" s="944"/>
      <c r="D3" s="944"/>
      <c r="E3" s="944"/>
      <c r="F3" s="944"/>
      <c r="G3" s="944"/>
    </row>
    <row r="4" spans="1:15" ht="12.75" customHeight="1" x14ac:dyDescent="0.25">
      <c r="A4" s="341"/>
      <c r="B4" s="83"/>
      <c r="C4" s="83"/>
      <c r="D4" s="83"/>
      <c r="E4" s="83"/>
      <c r="F4" s="83"/>
      <c r="G4" s="83"/>
    </row>
    <row r="5" spans="1:15" x14ac:dyDescent="0.25">
      <c r="A5" s="1127" t="s">
        <v>1039</v>
      </c>
      <c r="B5" s="1127"/>
      <c r="C5" s="1127"/>
      <c r="D5" s="1127"/>
      <c r="E5" s="1127"/>
      <c r="F5" s="1127"/>
      <c r="G5" s="1127"/>
    </row>
    <row r="6" spans="1:15" ht="92.4" customHeight="1" x14ac:dyDescent="0.25">
      <c r="A6" s="944" t="s">
        <v>1198</v>
      </c>
      <c r="B6" s="944"/>
      <c r="C6" s="944"/>
      <c r="D6" s="944"/>
      <c r="E6" s="944"/>
      <c r="F6" s="944"/>
      <c r="G6" s="944"/>
    </row>
    <row r="7" spans="1:15" x14ac:dyDescent="0.25">
      <c r="A7" s="341"/>
      <c r="B7" s="83"/>
      <c r="C7" s="83"/>
      <c r="D7" s="83"/>
      <c r="E7" s="83"/>
      <c r="F7" s="83"/>
      <c r="G7" s="83"/>
    </row>
    <row r="8" spans="1:15" s="125" customFormat="1" ht="66" customHeight="1" x14ac:dyDescent="0.25">
      <c r="A8" s="1046" t="s">
        <v>1199</v>
      </c>
      <c r="B8" s="1046"/>
      <c r="C8" s="1046"/>
      <c r="D8" s="1046"/>
      <c r="E8" s="1046"/>
      <c r="F8" s="1046"/>
      <c r="G8" s="1046"/>
    </row>
    <row r="9" spans="1:15" x14ac:dyDescent="0.25">
      <c r="A9" s="341"/>
      <c r="B9" s="83"/>
      <c r="C9" s="83"/>
      <c r="D9" s="83"/>
      <c r="E9" s="83"/>
      <c r="F9" s="83"/>
      <c r="G9" s="83"/>
    </row>
    <row r="10" spans="1:15" ht="66" customHeight="1" x14ac:dyDescent="0.25">
      <c r="A10" s="944" t="s">
        <v>1296</v>
      </c>
      <c r="B10" s="944"/>
      <c r="C10" s="944"/>
      <c r="D10" s="944"/>
      <c r="E10" s="944"/>
      <c r="F10" s="944"/>
      <c r="G10" s="944"/>
    </row>
    <row r="11" spans="1:15" ht="12.75" customHeight="1" x14ac:dyDescent="0.25">
      <c r="A11" s="1033" t="s">
        <v>99</v>
      </c>
      <c r="B11" s="1033" t="s">
        <v>1033</v>
      </c>
      <c r="C11" s="585" t="s">
        <v>1034</v>
      </c>
      <c r="D11" s="585" t="s">
        <v>236</v>
      </c>
      <c r="E11" s="1033" t="s">
        <v>1035</v>
      </c>
      <c r="F11" s="83"/>
      <c r="G11" s="83"/>
    </row>
    <row r="12" spans="1:15" x14ac:dyDescent="0.25">
      <c r="A12" s="1033"/>
      <c r="B12" s="1033"/>
      <c r="C12" s="585" t="s">
        <v>1036</v>
      </c>
      <c r="D12" s="585" t="s">
        <v>1036</v>
      </c>
      <c r="E12" s="1033"/>
      <c r="F12" s="83"/>
      <c r="G12" s="83"/>
    </row>
    <row r="13" spans="1:15" x14ac:dyDescent="0.25">
      <c r="A13" s="585"/>
      <c r="B13" s="585" t="s">
        <v>298</v>
      </c>
      <c r="C13" s="585" t="s">
        <v>298</v>
      </c>
      <c r="D13" s="585" t="s">
        <v>298</v>
      </c>
      <c r="E13" s="585" t="s">
        <v>298</v>
      </c>
      <c r="F13" s="83"/>
      <c r="G13" s="83"/>
    </row>
    <row r="14" spans="1:15" x14ac:dyDescent="0.25">
      <c r="A14" s="73" t="s">
        <v>408</v>
      </c>
      <c r="B14" s="734">
        <f>+'3'!C205</f>
        <v>0</v>
      </c>
      <c r="C14" s="734">
        <f>-'3'!C206</f>
        <v>1161</v>
      </c>
      <c r="D14" s="734">
        <f>-'3'!C204</f>
        <v>380</v>
      </c>
      <c r="E14" s="734">
        <f>+'3'!C105+'3'!C110</f>
        <v>6048</v>
      </c>
      <c r="F14" s="83"/>
      <c r="G14" s="83"/>
      <c r="K14" s="759"/>
      <c r="L14" s="759"/>
      <c r="M14" s="759"/>
      <c r="N14" s="759"/>
      <c r="O14" s="759"/>
    </row>
    <row r="15" spans="1:15" x14ac:dyDescent="0.25">
      <c r="A15" s="733" t="s">
        <v>409</v>
      </c>
      <c r="B15" s="735">
        <f>+'3'!D205</f>
        <v>0</v>
      </c>
      <c r="C15" s="735">
        <f>-'3'!D206</f>
        <v>1161</v>
      </c>
      <c r="D15" s="735">
        <f>-'3'!D204</f>
        <v>312</v>
      </c>
      <c r="E15" s="735">
        <f>+E14-C15+B15</f>
        <v>4887</v>
      </c>
      <c r="F15" s="83"/>
      <c r="G15" s="83"/>
      <c r="J15" s="872"/>
    </row>
    <row r="16" spans="1:15" x14ac:dyDescent="0.25">
      <c r="A16" s="74" t="s">
        <v>558</v>
      </c>
      <c r="B16" s="734">
        <f>+'3'!E205</f>
        <v>0</v>
      </c>
      <c r="C16" s="734">
        <f>-'3'!E206</f>
        <v>1161</v>
      </c>
      <c r="D16" s="734">
        <f>-'3'!E204</f>
        <v>247</v>
      </c>
      <c r="E16" s="734">
        <f t="shared" ref="E16:E18" si="0">+E15-C16+B16</f>
        <v>3726</v>
      </c>
      <c r="F16" s="83"/>
      <c r="G16" s="83"/>
    </row>
    <row r="17" spans="1:7" x14ac:dyDescent="0.25">
      <c r="A17" s="74" t="s">
        <v>734</v>
      </c>
      <c r="B17" s="734">
        <f>+'3'!F205</f>
        <v>2000</v>
      </c>
      <c r="C17" s="734">
        <f>-'3'!F206</f>
        <v>1161</v>
      </c>
      <c r="D17" s="734">
        <f>-'3'!F204</f>
        <v>410</v>
      </c>
      <c r="E17" s="734">
        <f t="shared" si="0"/>
        <v>4565</v>
      </c>
      <c r="F17" s="83"/>
      <c r="G17" s="83"/>
    </row>
    <row r="18" spans="1:7" x14ac:dyDescent="0.25">
      <c r="A18" s="75" t="s">
        <v>1063</v>
      </c>
      <c r="B18" s="736">
        <f>+'3'!G205</f>
        <v>0</v>
      </c>
      <c r="C18" s="736">
        <f>-'3'!G206</f>
        <v>1290</v>
      </c>
      <c r="D18" s="736">
        <f>-'3'!G204</f>
        <v>340</v>
      </c>
      <c r="E18" s="736">
        <f t="shared" si="0"/>
        <v>3275</v>
      </c>
      <c r="F18" s="83"/>
      <c r="G18" s="83"/>
    </row>
    <row r="19" spans="1:7" x14ac:dyDescent="0.25">
      <c r="A19" s="74"/>
      <c r="B19" s="74"/>
      <c r="C19" s="273"/>
      <c r="D19" s="74"/>
      <c r="E19" s="273"/>
      <c r="F19" s="83"/>
      <c r="G19" s="83"/>
    </row>
    <row r="20" spans="1:7" x14ac:dyDescent="0.25">
      <c r="A20" s="1115" t="s">
        <v>1404</v>
      </c>
      <c r="B20" s="1062"/>
      <c r="C20" s="1062"/>
      <c r="D20" s="1062"/>
      <c r="E20" s="1062"/>
      <c r="F20" s="1062"/>
      <c r="G20" s="1062"/>
    </row>
    <row r="21" spans="1:7" ht="26.4" x14ac:dyDescent="0.25">
      <c r="A21" s="489"/>
      <c r="B21" s="489"/>
      <c r="C21" s="490"/>
      <c r="D21" s="489"/>
      <c r="E21" s="379" t="s">
        <v>1297</v>
      </c>
      <c r="F21" s="379" t="s">
        <v>1298</v>
      </c>
      <c r="G21" s="83"/>
    </row>
    <row r="22" spans="1:7" x14ac:dyDescent="0.25">
      <c r="A22" s="1061" t="s">
        <v>634</v>
      </c>
      <c r="B22" s="1062"/>
      <c r="C22" s="1062"/>
      <c r="D22" s="1062"/>
      <c r="E22" s="493">
        <v>7209</v>
      </c>
      <c r="F22" s="424">
        <f>+E25</f>
        <v>6048</v>
      </c>
      <c r="G22" s="83"/>
    </row>
    <row r="23" spans="1:7" x14ac:dyDescent="0.25">
      <c r="A23" s="1061" t="s">
        <v>782</v>
      </c>
      <c r="B23" s="1062"/>
      <c r="C23" s="1062"/>
      <c r="D23" s="1062"/>
      <c r="E23" s="493">
        <v>0</v>
      </c>
      <c r="F23" s="424">
        <v>0</v>
      </c>
      <c r="G23" s="83"/>
    </row>
    <row r="24" spans="1:7" x14ac:dyDescent="0.25">
      <c r="A24" s="1061" t="s">
        <v>635</v>
      </c>
      <c r="B24" s="1062"/>
      <c r="C24" s="1062"/>
      <c r="D24" s="1062"/>
      <c r="E24" s="493">
        <v>-1161</v>
      </c>
      <c r="F24" s="424">
        <v>-1161</v>
      </c>
      <c r="G24" s="83"/>
    </row>
    <row r="25" spans="1:7" x14ac:dyDescent="0.25">
      <c r="A25" s="1063" t="s">
        <v>783</v>
      </c>
      <c r="B25" s="1064"/>
      <c r="C25" s="1064"/>
      <c r="D25" s="1064"/>
      <c r="E25" s="495">
        <f>SUM(E22:E24)</f>
        <v>6048</v>
      </c>
      <c r="F25" s="422">
        <f>SUM(F22:F24)</f>
        <v>4887</v>
      </c>
      <c r="G25" s="83"/>
    </row>
    <row r="26" spans="1:7" x14ac:dyDescent="0.25">
      <c r="A26" s="73"/>
      <c r="B26" s="730"/>
      <c r="C26" s="730"/>
      <c r="D26" s="730"/>
      <c r="E26" s="83"/>
      <c r="F26" s="83"/>
      <c r="G26" s="83"/>
    </row>
    <row r="27" spans="1:7" x14ac:dyDescent="0.25">
      <c r="A27" s="952" t="s">
        <v>1040</v>
      </c>
      <c r="B27" s="942"/>
      <c r="C27" s="942"/>
      <c r="D27" s="942"/>
      <c r="E27" s="942"/>
      <c r="F27" s="942"/>
      <c r="G27" s="942"/>
    </row>
    <row r="28" spans="1:7" ht="79.2" customHeight="1" x14ac:dyDescent="0.25">
      <c r="A28" s="944" t="s">
        <v>557</v>
      </c>
      <c r="B28" s="942"/>
      <c r="C28" s="942"/>
      <c r="D28" s="942"/>
      <c r="E28" s="942"/>
      <c r="F28" s="942"/>
      <c r="G28" s="942"/>
    </row>
    <row r="29" spans="1:7" ht="26.4" customHeight="1" x14ac:dyDescent="0.25">
      <c r="A29" s="959" t="s">
        <v>1200</v>
      </c>
      <c r="B29" s="942"/>
      <c r="C29" s="942"/>
      <c r="D29" s="942"/>
      <c r="E29" s="942"/>
      <c r="F29" s="942"/>
      <c r="G29" s="942"/>
    </row>
    <row r="30" spans="1:7" x14ac:dyDescent="0.25">
      <c r="A30" s="947" t="s">
        <v>1194</v>
      </c>
      <c r="B30" s="942"/>
      <c r="C30" s="942"/>
      <c r="D30" s="942"/>
      <c r="E30" s="942"/>
      <c r="F30" s="942"/>
      <c r="G30" s="942"/>
    </row>
    <row r="31" spans="1:7" x14ac:dyDescent="0.25">
      <c r="A31" s="947" t="s">
        <v>1195</v>
      </c>
      <c r="B31" s="942"/>
      <c r="C31" s="942"/>
      <c r="D31" s="942"/>
      <c r="E31" s="942"/>
      <c r="F31" s="942"/>
      <c r="G31" s="942"/>
    </row>
    <row r="32" spans="1:7" x14ac:dyDescent="0.25">
      <c r="A32" s="947" t="s">
        <v>1196</v>
      </c>
      <c r="B32" s="942"/>
      <c r="C32" s="942"/>
      <c r="D32" s="942"/>
      <c r="E32" s="942"/>
      <c r="F32" s="942"/>
      <c r="G32" s="942"/>
    </row>
    <row r="33" spans="1:16" x14ac:dyDescent="0.25">
      <c r="A33" s="947" t="s">
        <v>1197</v>
      </c>
      <c r="B33" s="942"/>
      <c r="C33" s="942"/>
      <c r="D33" s="942"/>
      <c r="E33" s="942"/>
      <c r="F33" s="942"/>
      <c r="G33" s="942"/>
    </row>
    <row r="34" spans="1:16" x14ac:dyDescent="0.25">
      <c r="A34" s="341"/>
      <c r="B34" s="83"/>
      <c r="C34" s="83"/>
      <c r="D34" s="83"/>
      <c r="E34" s="83"/>
      <c r="F34" s="83"/>
      <c r="G34" s="83"/>
    </row>
    <row r="35" spans="1:16" ht="39.6" customHeight="1" x14ac:dyDescent="0.25">
      <c r="A35" s="944" t="s">
        <v>200</v>
      </c>
      <c r="B35" s="942"/>
      <c r="C35" s="942"/>
      <c r="D35" s="942"/>
      <c r="E35" s="942"/>
      <c r="F35" s="942"/>
      <c r="G35" s="942"/>
    </row>
    <row r="36" spans="1:16" ht="13.8" x14ac:dyDescent="0.25">
      <c r="A36" s="83"/>
      <c r="B36" s="83"/>
      <c r="C36" s="83"/>
      <c r="D36" s="83"/>
      <c r="E36" s="83"/>
      <c r="F36" s="83"/>
      <c r="G36" s="83"/>
      <c r="I36" s="676" t="s">
        <v>78</v>
      </c>
      <c r="J36" s="731" t="s">
        <v>408</v>
      </c>
      <c r="K36" s="731" t="s">
        <v>409</v>
      </c>
      <c r="L36" s="731" t="s">
        <v>558</v>
      </c>
      <c r="M36" s="731" t="s">
        <v>734</v>
      </c>
      <c r="N36" s="731" t="s">
        <v>1063</v>
      </c>
      <c r="O36" s="731"/>
    </row>
    <row r="37" spans="1:16" ht="24.75" customHeight="1" x14ac:dyDescent="0.25">
      <c r="A37" s="944" t="s">
        <v>24</v>
      </c>
      <c r="B37" s="944"/>
      <c r="C37" s="944"/>
      <c r="D37" s="944"/>
      <c r="E37" s="944"/>
      <c r="F37" s="944"/>
      <c r="G37" s="944"/>
      <c r="I37" s="677" t="s">
        <v>39</v>
      </c>
      <c r="J37" s="732">
        <f>'3'!C59</f>
        <v>14034</v>
      </c>
      <c r="K37" s="732">
        <f>'3'!D59</f>
        <v>14500</v>
      </c>
      <c r="L37" s="732">
        <f>'3'!E59</f>
        <v>15187</v>
      </c>
      <c r="M37" s="732">
        <f>'3'!F59</f>
        <v>15744</v>
      </c>
      <c r="N37" s="732">
        <f>'3'!G59</f>
        <v>16274</v>
      </c>
      <c r="O37" s="732"/>
      <c r="P37" s="677" t="s">
        <v>41</v>
      </c>
    </row>
    <row r="38" spans="1:16" ht="13.8" x14ac:dyDescent="0.25">
      <c r="A38" s="341"/>
      <c r="B38" s="83"/>
      <c r="C38" s="83"/>
      <c r="D38" s="83"/>
      <c r="E38" s="83"/>
      <c r="F38" s="83"/>
      <c r="G38" s="83"/>
      <c r="I38" s="677" t="s">
        <v>40</v>
      </c>
      <c r="J38" s="27">
        <f>'3'!C251</f>
        <v>12225</v>
      </c>
      <c r="K38" s="27">
        <f>'3'!D251</f>
        <v>17454</v>
      </c>
      <c r="L38" s="27">
        <f>'3'!E251</f>
        <v>15928</v>
      </c>
      <c r="M38" s="27">
        <f>'3'!F251</f>
        <v>13145</v>
      </c>
      <c r="N38" s="27">
        <f>'3'!G251</f>
        <v>13560</v>
      </c>
      <c r="O38" s="27"/>
    </row>
    <row r="39" spans="1:16" ht="228" customHeight="1" x14ac:dyDescent="0.25">
      <c r="A39" s="83"/>
      <c r="B39" s="83"/>
      <c r="C39" s="83"/>
      <c r="D39" s="83"/>
      <c r="E39" s="83"/>
      <c r="F39" s="83"/>
      <c r="G39" s="83"/>
      <c r="I39" s="677" t="s">
        <v>38</v>
      </c>
      <c r="J39" s="28">
        <f>(J37-J38)+5000</f>
        <v>6809</v>
      </c>
      <c r="K39" s="28">
        <f>(K37-K38)+J39</f>
        <v>3855</v>
      </c>
      <c r="L39" s="28">
        <f t="shared" ref="L39:N39" si="1">(L37-L38)+K39</f>
        <v>3114</v>
      </c>
      <c r="M39" s="28">
        <f t="shared" si="1"/>
        <v>5713</v>
      </c>
      <c r="N39" s="28">
        <f t="shared" si="1"/>
        <v>8427</v>
      </c>
      <c r="O39" s="28"/>
    </row>
    <row r="40" spans="1:16" s="611" customFormat="1" ht="92.4" customHeight="1" x14ac:dyDescent="0.25">
      <c r="A40" s="944" t="s">
        <v>1299</v>
      </c>
      <c r="B40" s="944"/>
      <c r="C40" s="944"/>
      <c r="D40" s="944"/>
      <c r="E40" s="944"/>
      <c r="F40" s="944"/>
      <c r="G40" s="944"/>
    </row>
    <row r="41" spans="1:16" s="611" customFormat="1" x14ac:dyDescent="0.25">
      <c r="A41" s="584"/>
      <c r="B41" s="584"/>
      <c r="C41" s="584"/>
      <c r="D41" s="584"/>
      <c r="E41" s="584"/>
      <c r="F41" s="584"/>
      <c r="G41" s="584"/>
    </row>
    <row r="42" spans="1:16" ht="26.4" customHeight="1" x14ac:dyDescent="0.25">
      <c r="A42" s="944" t="s">
        <v>1201</v>
      </c>
      <c r="B42" s="944"/>
      <c r="C42" s="944"/>
      <c r="D42" s="944"/>
      <c r="E42" s="944"/>
      <c r="F42" s="944"/>
      <c r="G42" s="944"/>
    </row>
    <row r="43" spans="1:16" x14ac:dyDescent="0.25">
      <c r="A43" s="959" t="s">
        <v>1300</v>
      </c>
      <c r="B43" s="947"/>
      <c r="C43" s="947"/>
      <c r="D43" s="947"/>
      <c r="E43" s="947"/>
      <c r="F43" s="947"/>
      <c r="G43" s="947"/>
    </row>
    <row r="44" spans="1:16" ht="26.4" customHeight="1" x14ac:dyDescent="0.25">
      <c r="A44" s="959" t="s">
        <v>1301</v>
      </c>
      <c r="B44" s="942"/>
      <c r="C44" s="942"/>
      <c r="D44" s="942"/>
      <c r="E44" s="942"/>
      <c r="F44" s="942"/>
      <c r="G44" s="942"/>
    </row>
    <row r="45" spans="1:16" x14ac:dyDescent="0.25">
      <c r="A45" s="947" t="s">
        <v>1302</v>
      </c>
      <c r="B45" s="942"/>
      <c r="C45" s="942"/>
      <c r="D45" s="942"/>
      <c r="E45" s="942"/>
      <c r="F45" s="942"/>
      <c r="G45" s="942"/>
    </row>
    <row r="46" spans="1:16" ht="26.4" customHeight="1" x14ac:dyDescent="0.25">
      <c r="A46" s="959" t="s">
        <v>1303</v>
      </c>
      <c r="B46" s="942"/>
      <c r="C46" s="942"/>
      <c r="D46" s="942"/>
      <c r="E46" s="942"/>
      <c r="F46" s="942"/>
      <c r="G46" s="942"/>
    </row>
    <row r="47" spans="1:16" ht="26.4" customHeight="1" x14ac:dyDescent="0.25">
      <c r="A47" s="959" t="s">
        <v>1407</v>
      </c>
      <c r="B47" s="942"/>
      <c r="C47" s="942"/>
      <c r="D47" s="942"/>
      <c r="E47" s="942"/>
      <c r="F47" s="942"/>
      <c r="G47" s="942"/>
    </row>
    <row r="48" spans="1:16" x14ac:dyDescent="0.25">
      <c r="A48" s="959" t="s">
        <v>1304</v>
      </c>
      <c r="B48" s="942"/>
      <c r="C48" s="942"/>
      <c r="D48" s="942"/>
      <c r="E48" s="942"/>
      <c r="F48" s="942"/>
      <c r="G48" s="942"/>
    </row>
    <row r="49" spans="1:7" x14ac:dyDescent="0.25">
      <c r="A49" s="341"/>
      <c r="B49" s="83"/>
      <c r="C49" s="83"/>
      <c r="D49" s="83"/>
      <c r="E49" s="83"/>
      <c r="F49" s="83"/>
      <c r="G49" s="83"/>
    </row>
    <row r="50" spans="1:7" ht="26.4" customHeight="1" x14ac:dyDescent="0.25">
      <c r="A50" s="944" t="s">
        <v>201</v>
      </c>
      <c r="B50" s="942"/>
      <c r="C50" s="942"/>
      <c r="D50" s="942"/>
      <c r="E50" s="942"/>
      <c r="F50" s="942"/>
      <c r="G50" s="942"/>
    </row>
    <row r="51" spans="1:7" ht="23.25" customHeight="1" x14ac:dyDescent="0.25">
      <c r="A51" s="737"/>
      <c r="B51" s="738"/>
      <c r="C51" s="738"/>
      <c r="D51" s="1129" t="s">
        <v>636</v>
      </c>
      <c r="E51" s="1130"/>
      <c r="F51" s="1130"/>
      <c r="G51" s="1130"/>
    </row>
    <row r="52" spans="1:7" ht="12.75" customHeight="1" x14ac:dyDescent="0.25">
      <c r="A52" s="1033" t="s">
        <v>99</v>
      </c>
      <c r="B52" s="1033" t="s">
        <v>25</v>
      </c>
      <c r="C52" s="1033" t="s">
        <v>462</v>
      </c>
      <c r="D52" s="1033" t="s">
        <v>463</v>
      </c>
      <c r="E52" s="1126"/>
      <c r="F52" s="585" t="s">
        <v>100</v>
      </c>
      <c r="G52" s="1033" t="s">
        <v>202</v>
      </c>
    </row>
    <row r="53" spans="1:7" x14ac:dyDescent="0.25">
      <c r="A53" s="1033"/>
      <c r="B53" s="1033"/>
      <c r="C53" s="1033"/>
      <c r="D53" s="1033"/>
      <c r="E53" s="1126"/>
      <c r="F53" s="585" t="s">
        <v>601</v>
      </c>
      <c r="G53" s="1033"/>
    </row>
    <row r="54" spans="1:7" x14ac:dyDescent="0.25">
      <c r="A54" s="629"/>
      <c r="B54" s="585" t="s">
        <v>298</v>
      </c>
      <c r="C54" s="585" t="s">
        <v>298</v>
      </c>
      <c r="D54" s="1033" t="s">
        <v>298</v>
      </c>
      <c r="E54" s="1126"/>
      <c r="F54" s="585" t="s">
        <v>298</v>
      </c>
      <c r="G54" s="585" t="s">
        <v>298</v>
      </c>
    </row>
    <row r="55" spans="1:7" x14ac:dyDescent="0.25">
      <c r="A55" s="739" t="s">
        <v>408</v>
      </c>
      <c r="B55" s="739">
        <f>+'3'!C254</f>
        <v>22617</v>
      </c>
      <c r="C55" s="739">
        <f>+'3'!C46</f>
        <v>2903</v>
      </c>
      <c r="D55" s="1123">
        <v>0</v>
      </c>
      <c r="E55" s="1123"/>
      <c r="F55" s="739">
        <v>19714</v>
      </c>
      <c r="G55" s="739">
        <v>0</v>
      </c>
    </row>
    <row r="56" spans="1:7" x14ac:dyDescent="0.25">
      <c r="A56" s="740" t="s">
        <v>409</v>
      </c>
      <c r="B56" s="740">
        <f>+'3'!D254</f>
        <v>30717</v>
      </c>
      <c r="C56" s="740">
        <f>+'3'!D46</f>
        <v>6277</v>
      </c>
      <c r="D56" s="1124">
        <v>0</v>
      </c>
      <c r="E56" s="1124"/>
      <c r="F56" s="740">
        <v>24440</v>
      </c>
      <c r="G56" s="740">
        <v>0</v>
      </c>
    </row>
    <row r="57" spans="1:7" x14ac:dyDescent="0.25">
      <c r="A57" s="739" t="s">
        <v>558</v>
      </c>
      <c r="B57" s="739">
        <f>+'3'!E254</f>
        <v>23242</v>
      </c>
      <c r="C57" s="739">
        <f>+'3'!E46</f>
        <v>9407</v>
      </c>
      <c r="D57" s="1123">
        <v>0</v>
      </c>
      <c r="E57" s="1123"/>
      <c r="F57" s="739">
        <v>13835</v>
      </c>
      <c r="G57" s="739">
        <v>0</v>
      </c>
    </row>
    <row r="58" spans="1:7" x14ac:dyDescent="0.25">
      <c r="A58" s="739" t="s">
        <v>734</v>
      </c>
      <c r="B58" s="739">
        <f>+'3'!F254</f>
        <v>18530</v>
      </c>
      <c r="C58" s="739">
        <f>+'3'!F46</f>
        <v>1694</v>
      </c>
      <c r="D58" s="1123">
        <v>0</v>
      </c>
      <c r="E58" s="1123"/>
      <c r="F58" s="739">
        <v>14836</v>
      </c>
      <c r="G58" s="739">
        <v>2000</v>
      </c>
    </row>
    <row r="59" spans="1:7" x14ac:dyDescent="0.25">
      <c r="A59" s="741" t="s">
        <v>1063</v>
      </c>
      <c r="B59" s="741">
        <f>+'3'!G254</f>
        <v>17349</v>
      </c>
      <c r="C59" s="741">
        <f>+'3'!G46</f>
        <v>1367</v>
      </c>
      <c r="D59" s="1125">
        <v>0</v>
      </c>
      <c r="E59" s="1125"/>
      <c r="F59" s="741">
        <v>15982</v>
      </c>
      <c r="G59" s="741">
        <v>0</v>
      </c>
    </row>
    <row r="60" spans="1:7" ht="7.5" customHeight="1" x14ac:dyDescent="0.25">
      <c r="A60" s="341"/>
      <c r="B60" s="83"/>
      <c r="C60" s="83"/>
      <c r="D60" s="83"/>
      <c r="E60" s="83"/>
      <c r="F60" s="83"/>
      <c r="G60" s="83"/>
    </row>
    <row r="61" spans="1:7" ht="105.6" customHeight="1" x14ac:dyDescent="0.25">
      <c r="A61" s="944" t="s">
        <v>559</v>
      </c>
      <c r="B61" s="944"/>
      <c r="C61" s="944"/>
      <c r="D61" s="944"/>
      <c r="E61" s="944"/>
      <c r="F61" s="944"/>
      <c r="G61" s="944"/>
    </row>
    <row r="62" spans="1:7" s="611" customFormat="1" x14ac:dyDescent="0.25">
      <c r="A62" s="584"/>
      <c r="B62" s="584"/>
      <c r="C62" s="584"/>
      <c r="D62" s="584"/>
      <c r="E62" s="584"/>
      <c r="F62" s="584"/>
      <c r="G62" s="584"/>
    </row>
    <row r="63" spans="1:7" x14ac:dyDescent="0.25">
      <c r="A63" s="952" t="s">
        <v>1406</v>
      </c>
      <c r="B63" s="952"/>
      <c r="C63" s="952"/>
      <c r="D63" s="952"/>
      <c r="E63" s="952"/>
      <c r="F63" s="952"/>
      <c r="G63" s="952"/>
    </row>
    <row r="64" spans="1:7" ht="79.2" customHeight="1" x14ac:dyDescent="0.25">
      <c r="A64" s="944" t="s">
        <v>1041</v>
      </c>
      <c r="B64" s="944"/>
      <c r="C64" s="944"/>
      <c r="D64" s="944"/>
      <c r="E64" s="944"/>
      <c r="F64" s="944"/>
      <c r="G64" s="944"/>
    </row>
    <row r="65" spans="1:7" x14ac:dyDescent="0.25">
      <c r="A65" s="341"/>
      <c r="B65" s="83"/>
      <c r="C65" s="83"/>
      <c r="D65" s="83"/>
      <c r="E65" s="83"/>
      <c r="F65" s="83"/>
      <c r="G65" s="83"/>
    </row>
    <row r="66" spans="1:7" x14ac:dyDescent="0.25">
      <c r="A66" s="944" t="s">
        <v>203</v>
      </c>
      <c r="B66" s="942"/>
      <c r="C66" s="942"/>
      <c r="D66" s="942"/>
      <c r="E66" s="942"/>
      <c r="F66" s="942"/>
      <c r="G66" s="942"/>
    </row>
    <row r="67" spans="1:7" x14ac:dyDescent="0.25">
      <c r="A67" s="1122"/>
      <c r="B67" s="1122"/>
      <c r="C67" s="585" t="s">
        <v>1098</v>
      </c>
      <c r="D67" s="585" t="s">
        <v>1099</v>
      </c>
      <c r="E67" s="585" t="s">
        <v>1100</v>
      </c>
      <c r="F67" s="585" t="s">
        <v>1101</v>
      </c>
      <c r="G67" s="83"/>
    </row>
    <row r="68" spans="1:7" x14ac:dyDescent="0.25">
      <c r="A68" s="1122"/>
      <c r="B68" s="1122"/>
      <c r="C68" s="585" t="s">
        <v>104</v>
      </c>
      <c r="D68" s="585" t="s">
        <v>104</v>
      </c>
      <c r="E68" s="585" t="s">
        <v>104</v>
      </c>
      <c r="F68" s="585" t="s">
        <v>104</v>
      </c>
      <c r="G68" s="83"/>
    </row>
    <row r="69" spans="1:7" s="759" customFormat="1" x14ac:dyDescent="0.25">
      <c r="A69" s="943" t="s">
        <v>204</v>
      </c>
      <c r="B69" s="943"/>
      <c r="C69" s="873">
        <v>2</v>
      </c>
      <c r="D69" s="874">
        <v>2.25</v>
      </c>
      <c r="E69" s="874">
        <v>2.25</v>
      </c>
      <c r="F69" s="874">
        <v>2.5</v>
      </c>
      <c r="G69" s="83"/>
    </row>
    <row r="70" spans="1:7" s="759" customFormat="1" x14ac:dyDescent="0.25">
      <c r="A70" s="943" t="s">
        <v>191</v>
      </c>
      <c r="B70" s="943"/>
      <c r="C70" s="873">
        <v>3.66</v>
      </c>
      <c r="D70" s="874">
        <v>3.75</v>
      </c>
      <c r="E70" s="874">
        <v>3.75</v>
      </c>
      <c r="F70" s="874">
        <v>3.75</v>
      </c>
      <c r="G70" s="83"/>
    </row>
    <row r="71" spans="1:7" s="759" customFormat="1" ht="25.5" customHeight="1" x14ac:dyDescent="0.25">
      <c r="A71" s="950" t="s">
        <v>400</v>
      </c>
      <c r="B71" s="950"/>
      <c r="C71" s="873">
        <v>0.47</v>
      </c>
      <c r="D71" s="874">
        <v>2</v>
      </c>
      <c r="E71" s="874">
        <v>2</v>
      </c>
      <c r="F71" s="874">
        <v>2</v>
      </c>
      <c r="G71" s="83"/>
    </row>
    <row r="72" spans="1:7" s="759" customFormat="1" x14ac:dyDescent="0.25">
      <c r="A72" s="1128" t="s">
        <v>401</v>
      </c>
      <c r="B72" s="1128"/>
      <c r="C72" s="875">
        <v>0.15</v>
      </c>
      <c r="D72" s="876">
        <v>2</v>
      </c>
      <c r="E72" s="876">
        <v>2</v>
      </c>
      <c r="F72" s="876">
        <v>2</v>
      </c>
      <c r="G72" s="83"/>
    </row>
    <row r="73" spans="1:7" s="759" customFormat="1" x14ac:dyDescent="0.25">
      <c r="A73" s="943" t="s">
        <v>205</v>
      </c>
      <c r="B73" s="943"/>
      <c r="C73" s="873">
        <v>2</v>
      </c>
      <c r="D73" s="874">
        <v>2.7</v>
      </c>
      <c r="E73" s="874">
        <v>2.8</v>
      </c>
      <c r="F73" s="874">
        <v>2.8</v>
      </c>
      <c r="G73" s="83"/>
    </row>
    <row r="74" spans="1:7" s="759" customFormat="1" x14ac:dyDescent="0.25">
      <c r="A74" s="943" t="s">
        <v>206</v>
      </c>
      <c r="B74" s="943"/>
      <c r="C74" s="873">
        <v>1</v>
      </c>
      <c r="D74" s="874">
        <v>1</v>
      </c>
      <c r="E74" s="874">
        <v>1</v>
      </c>
      <c r="F74" s="874">
        <v>0.6</v>
      </c>
      <c r="G74" s="83"/>
    </row>
    <row r="75" spans="1:7" s="759" customFormat="1" x14ac:dyDescent="0.25">
      <c r="A75" s="943" t="s">
        <v>207</v>
      </c>
      <c r="B75" s="943"/>
      <c r="C75" s="873">
        <v>4.5</v>
      </c>
      <c r="D75" s="874">
        <v>3.5</v>
      </c>
      <c r="E75" s="874">
        <v>3.5</v>
      </c>
      <c r="F75" s="874">
        <v>3.5</v>
      </c>
      <c r="G75" s="83"/>
    </row>
    <row r="76" spans="1:7" s="759" customFormat="1" x14ac:dyDescent="0.25">
      <c r="A76" s="943" t="s">
        <v>208</v>
      </c>
      <c r="B76" s="943"/>
      <c r="C76" s="873">
        <v>2</v>
      </c>
      <c r="D76" s="874">
        <v>2</v>
      </c>
      <c r="E76" s="874">
        <v>2</v>
      </c>
      <c r="F76" s="874">
        <v>2</v>
      </c>
      <c r="G76" s="83"/>
    </row>
    <row r="77" spans="1:7" s="759" customFormat="1" x14ac:dyDescent="0.25">
      <c r="A77" s="943" t="s">
        <v>209</v>
      </c>
      <c r="B77" s="943"/>
      <c r="C77" s="873">
        <v>2</v>
      </c>
      <c r="D77" s="874">
        <v>2</v>
      </c>
      <c r="E77" s="874">
        <v>2</v>
      </c>
      <c r="F77" s="874">
        <v>2</v>
      </c>
      <c r="G77" s="83"/>
    </row>
    <row r="78" spans="1:7" s="759" customFormat="1" x14ac:dyDescent="0.25">
      <c r="A78" s="1091" t="s">
        <v>210</v>
      </c>
      <c r="B78" s="1091"/>
      <c r="C78" s="877">
        <v>3</v>
      </c>
      <c r="D78" s="876">
        <v>3</v>
      </c>
      <c r="E78" s="876">
        <v>3</v>
      </c>
      <c r="F78" s="876">
        <v>3</v>
      </c>
      <c r="G78" s="83"/>
    </row>
    <row r="79" spans="1:7" s="759" customFormat="1" x14ac:dyDescent="0.25">
      <c r="A79" s="758"/>
      <c r="B79" s="70"/>
      <c r="C79" s="70"/>
      <c r="D79" s="70"/>
      <c r="E79" s="70"/>
      <c r="F79" s="83"/>
      <c r="G79" s="83"/>
    </row>
    <row r="80" spans="1:7" ht="26.4" customHeight="1" x14ac:dyDescent="0.25">
      <c r="A80" s="944" t="s">
        <v>211</v>
      </c>
      <c r="B80" s="944"/>
      <c r="C80" s="944"/>
      <c r="D80" s="944"/>
      <c r="E80" s="944"/>
      <c r="F80" s="944"/>
      <c r="G80" s="944"/>
    </row>
    <row r="81" spans="1:7" x14ac:dyDescent="0.25">
      <c r="A81" s="341"/>
      <c r="B81" s="83"/>
      <c r="C81" s="83"/>
      <c r="D81" s="83"/>
      <c r="E81" s="83"/>
      <c r="F81" s="83"/>
      <c r="G81" s="83"/>
    </row>
    <row r="82" spans="1:7" x14ac:dyDescent="0.25">
      <c r="A82" s="952" t="s">
        <v>212</v>
      </c>
      <c r="B82" s="942"/>
      <c r="C82" s="942"/>
      <c r="D82" s="942"/>
      <c r="E82" s="942"/>
      <c r="F82" s="942"/>
      <c r="G82" s="942"/>
    </row>
    <row r="83" spans="1:7" ht="66" customHeight="1" x14ac:dyDescent="0.25">
      <c r="A83" s="941" t="s">
        <v>1305</v>
      </c>
      <c r="B83" s="941"/>
      <c r="C83" s="941"/>
      <c r="D83" s="941"/>
      <c r="E83" s="941"/>
      <c r="F83" s="941"/>
      <c r="G83" s="941"/>
    </row>
    <row r="84" spans="1:7" x14ac:dyDescent="0.25">
      <c r="A84" s="341"/>
      <c r="B84" s="83"/>
      <c r="C84" s="83"/>
      <c r="D84" s="83"/>
      <c r="E84" s="83"/>
      <c r="F84" s="83"/>
      <c r="G84" s="83"/>
    </row>
    <row r="85" spans="1:7" x14ac:dyDescent="0.25">
      <c r="A85" s="952" t="s">
        <v>213</v>
      </c>
      <c r="B85" s="942"/>
      <c r="C85" s="942"/>
      <c r="D85" s="942"/>
      <c r="E85" s="942"/>
      <c r="F85" s="942"/>
      <c r="G85" s="942"/>
    </row>
    <row r="86" spans="1:7" ht="51" customHeight="1" x14ac:dyDescent="0.25">
      <c r="A86" s="944" t="s">
        <v>1306</v>
      </c>
      <c r="B86" s="942"/>
      <c r="C86" s="942"/>
      <c r="D86" s="942"/>
      <c r="E86" s="942"/>
      <c r="F86" s="942"/>
      <c r="G86" s="942"/>
    </row>
    <row r="87" spans="1:7" x14ac:dyDescent="0.25">
      <c r="A87" s="341"/>
      <c r="B87" s="83"/>
      <c r="C87" s="83"/>
      <c r="D87" s="83"/>
      <c r="E87" s="83"/>
      <c r="F87" s="83"/>
      <c r="G87" s="83"/>
    </row>
    <row r="88" spans="1:7" x14ac:dyDescent="0.25">
      <c r="A88" s="952" t="s">
        <v>5</v>
      </c>
      <c r="B88" s="942"/>
      <c r="C88" s="942"/>
      <c r="D88" s="942"/>
      <c r="E88" s="942"/>
      <c r="F88" s="942"/>
      <c r="G88" s="942"/>
    </row>
    <row r="89" spans="1:7" ht="28.5" customHeight="1" x14ac:dyDescent="0.25">
      <c r="A89" s="944" t="s">
        <v>1202</v>
      </c>
      <c r="B89" s="944"/>
      <c r="C89" s="944"/>
      <c r="D89" s="944"/>
      <c r="E89" s="944"/>
      <c r="F89" s="944"/>
      <c r="G89" s="944"/>
    </row>
    <row r="90" spans="1:7" x14ac:dyDescent="0.25">
      <c r="A90" s="341"/>
      <c r="B90" s="83"/>
      <c r="C90" s="83"/>
      <c r="D90" s="83"/>
      <c r="E90" s="83"/>
      <c r="F90" s="83"/>
      <c r="G90" s="83"/>
    </row>
    <row r="91" spans="1:7" x14ac:dyDescent="0.25">
      <c r="A91" s="952" t="s">
        <v>6</v>
      </c>
      <c r="B91" s="952"/>
      <c r="C91" s="83"/>
      <c r="D91" s="83"/>
      <c r="E91" s="83"/>
      <c r="F91" s="83"/>
      <c r="G91" s="83"/>
    </row>
    <row r="92" spans="1:7" s="125" customFormat="1" ht="52.95" customHeight="1" x14ac:dyDescent="0.25">
      <c r="A92" s="1046" t="s">
        <v>1307</v>
      </c>
      <c r="B92" s="1046"/>
      <c r="C92" s="1046"/>
      <c r="D92" s="1046"/>
      <c r="E92" s="1046"/>
      <c r="F92" s="1046"/>
      <c r="G92" s="1046"/>
    </row>
    <row r="93" spans="1:7" x14ac:dyDescent="0.25">
      <c r="A93" s="341"/>
      <c r="B93" s="83"/>
      <c r="C93" s="83"/>
      <c r="D93" s="83"/>
      <c r="E93" s="83"/>
      <c r="F93" s="83"/>
      <c r="G93" s="83"/>
    </row>
    <row r="94" spans="1:7" x14ac:dyDescent="0.25">
      <c r="A94" s="952" t="s">
        <v>7</v>
      </c>
      <c r="B94" s="952"/>
      <c r="C94" s="83"/>
      <c r="D94" s="83"/>
      <c r="E94" s="83"/>
      <c r="F94" s="83"/>
      <c r="G94" s="83"/>
    </row>
    <row r="95" spans="1:7" ht="52.5" customHeight="1" x14ac:dyDescent="0.25">
      <c r="A95" s="1046" t="s">
        <v>1308</v>
      </c>
      <c r="B95" s="1046"/>
      <c r="C95" s="1046"/>
      <c r="D95" s="1046"/>
      <c r="E95" s="1046"/>
      <c r="F95" s="1046"/>
      <c r="G95" s="1046"/>
    </row>
    <row r="96" spans="1:7" x14ac:dyDescent="0.25">
      <c r="A96" s="341"/>
      <c r="B96" s="83"/>
      <c r="C96" s="83"/>
      <c r="D96" s="83"/>
      <c r="E96" s="83"/>
      <c r="F96" s="83"/>
      <c r="G96" s="83"/>
    </row>
    <row r="97" spans="1:7" x14ac:dyDescent="0.25">
      <c r="A97" s="944" t="s">
        <v>8</v>
      </c>
      <c r="B97" s="942"/>
      <c r="C97" s="942"/>
      <c r="D97" s="942"/>
      <c r="E97" s="942"/>
      <c r="F97" s="942"/>
      <c r="G97" s="942"/>
    </row>
    <row r="98" spans="1:7" x14ac:dyDescent="0.25">
      <c r="A98" s="585"/>
      <c r="B98" s="585"/>
      <c r="C98" s="585" t="s">
        <v>1037</v>
      </c>
      <c r="D98" s="585"/>
      <c r="E98" s="83"/>
      <c r="F98" s="83"/>
      <c r="G98" s="83"/>
    </row>
    <row r="99" spans="1:7" x14ac:dyDescent="0.25">
      <c r="A99" s="585"/>
      <c r="B99" s="585" t="s">
        <v>10</v>
      </c>
      <c r="C99" s="585" t="s">
        <v>1038</v>
      </c>
      <c r="D99" s="585" t="s">
        <v>9</v>
      </c>
      <c r="E99" s="83"/>
      <c r="F99" s="83"/>
      <c r="G99" s="83"/>
    </row>
    <row r="100" spans="1:7" x14ac:dyDescent="0.25">
      <c r="A100" s="585"/>
      <c r="B100" s="585" t="s">
        <v>11</v>
      </c>
      <c r="C100" s="585" t="s">
        <v>10</v>
      </c>
      <c r="D100" s="585" t="s">
        <v>337</v>
      </c>
      <c r="E100" s="83"/>
      <c r="F100" s="83"/>
      <c r="G100" s="83"/>
    </row>
    <row r="101" spans="1:7" ht="26.4" x14ac:dyDescent="0.25">
      <c r="A101" s="585" t="s">
        <v>99</v>
      </c>
      <c r="B101" s="585" t="s">
        <v>3</v>
      </c>
      <c r="C101" s="585" t="s">
        <v>11</v>
      </c>
      <c r="D101" s="585" t="s">
        <v>192</v>
      </c>
      <c r="E101" s="83"/>
      <c r="F101" s="83"/>
      <c r="G101" s="83"/>
    </row>
    <row r="102" spans="1:7" x14ac:dyDescent="0.25">
      <c r="A102" s="742"/>
      <c r="B102" s="742" t="s">
        <v>298</v>
      </c>
      <c r="C102" s="742" t="s">
        <v>298</v>
      </c>
      <c r="D102" s="742" t="s">
        <v>298</v>
      </c>
      <c r="E102" s="83"/>
      <c r="F102" s="83"/>
      <c r="G102" s="83"/>
    </row>
    <row r="103" spans="1:7" x14ac:dyDescent="0.25">
      <c r="A103" s="74" t="s">
        <v>408</v>
      </c>
      <c r="B103" s="743">
        <f>+'3'!C64</f>
        <v>-1922</v>
      </c>
      <c r="C103" s="743">
        <f>'14'!D31</f>
        <v>-4676</v>
      </c>
      <c r="D103" s="744">
        <v>-39369</v>
      </c>
      <c r="E103" s="83"/>
      <c r="F103" s="83"/>
      <c r="G103" s="83"/>
    </row>
    <row r="104" spans="1:7" x14ac:dyDescent="0.25">
      <c r="A104" s="745" t="s">
        <v>409</v>
      </c>
      <c r="B104" s="746">
        <f>+'3'!D64</f>
        <v>1045</v>
      </c>
      <c r="C104" s="746">
        <f>'14'!E31</f>
        <v>-4453</v>
      </c>
      <c r="D104" s="746">
        <f>-'2'!E266</f>
        <v>-42604</v>
      </c>
      <c r="E104" s="83"/>
      <c r="F104" s="83"/>
      <c r="G104" s="83"/>
    </row>
    <row r="105" spans="1:7" x14ac:dyDescent="0.25">
      <c r="A105" s="74" t="s">
        <v>558</v>
      </c>
      <c r="B105" s="743">
        <f>+'3'!E64</f>
        <v>5398</v>
      </c>
      <c r="C105" s="743">
        <f>'14'!F31</f>
        <v>4927</v>
      </c>
      <c r="D105" s="744">
        <v>-43233</v>
      </c>
      <c r="E105" s="83"/>
      <c r="F105" s="83"/>
      <c r="G105" s="83"/>
    </row>
    <row r="106" spans="1:7" x14ac:dyDescent="0.25">
      <c r="A106" s="74" t="s">
        <v>734</v>
      </c>
      <c r="B106" s="743">
        <f>+'3'!F64</f>
        <v>-1754</v>
      </c>
      <c r="C106" s="743">
        <f>'14'!G31</f>
        <v>-2124</v>
      </c>
      <c r="D106" s="743">
        <v>-44451</v>
      </c>
      <c r="E106" s="83"/>
      <c r="F106" s="83"/>
      <c r="G106" s="83"/>
    </row>
    <row r="107" spans="1:7" x14ac:dyDescent="0.25">
      <c r="A107" s="75" t="s">
        <v>1063</v>
      </c>
      <c r="B107" s="275">
        <f>+'3'!G64</f>
        <v>-1570</v>
      </c>
      <c r="C107" s="275">
        <f>'14'!H31</f>
        <v>-1920</v>
      </c>
      <c r="D107" s="276">
        <v>-46151</v>
      </c>
      <c r="E107" s="83"/>
      <c r="F107" s="83"/>
      <c r="G107" s="83"/>
    </row>
    <row r="109" spans="1:7" ht="86.25" customHeight="1" x14ac:dyDescent="0.25">
      <c r="A109" s="1111"/>
      <c r="B109" s="1111"/>
      <c r="C109" s="1111"/>
      <c r="D109" s="1111"/>
      <c r="E109" s="1111"/>
      <c r="F109" s="1111"/>
      <c r="G109" s="1111"/>
    </row>
  </sheetData>
  <mergeCells count="71">
    <mergeCell ref="A109:G109"/>
    <mergeCell ref="A46:G46"/>
    <mergeCell ref="A47:G47"/>
    <mergeCell ref="A48:G48"/>
    <mergeCell ref="A50:G50"/>
    <mergeCell ref="A75:B75"/>
    <mergeCell ref="A69:B69"/>
    <mergeCell ref="A72:B72"/>
    <mergeCell ref="A64:G64"/>
    <mergeCell ref="A61:G61"/>
    <mergeCell ref="D51:G51"/>
    <mergeCell ref="A52:A53"/>
    <mergeCell ref="B52:B53"/>
    <mergeCell ref="C52:C53"/>
    <mergeCell ref="D52:E53"/>
    <mergeCell ref="G52:G53"/>
    <mergeCell ref="D54:E54"/>
    <mergeCell ref="A3:G3"/>
    <mergeCell ref="A11:A12"/>
    <mergeCell ref="B11:B12"/>
    <mergeCell ref="E11:E12"/>
    <mergeCell ref="A22:D22"/>
    <mergeCell ref="A5:G5"/>
    <mergeCell ref="A6:G6"/>
    <mergeCell ref="A20:G20"/>
    <mergeCell ref="A8:G8"/>
    <mergeCell ref="A10:G10"/>
    <mergeCell ref="A23:D23"/>
    <mergeCell ref="A24:D24"/>
    <mergeCell ref="A25:D25"/>
    <mergeCell ref="A27:G27"/>
    <mergeCell ref="A28:G28"/>
    <mergeCell ref="A29:G29"/>
    <mergeCell ref="A30:G30"/>
    <mergeCell ref="A31:G31"/>
    <mergeCell ref="A32:G32"/>
    <mergeCell ref="A33:G33"/>
    <mergeCell ref="A35:G35"/>
    <mergeCell ref="A40:G40"/>
    <mergeCell ref="A43:G43"/>
    <mergeCell ref="A44:G44"/>
    <mergeCell ref="A45:G45"/>
    <mergeCell ref="A37:G37"/>
    <mergeCell ref="A42:G42"/>
    <mergeCell ref="D55:E55"/>
    <mergeCell ref="D56:E56"/>
    <mergeCell ref="D57:E57"/>
    <mergeCell ref="D58:E58"/>
    <mergeCell ref="D59:E59"/>
    <mergeCell ref="A94:B94"/>
    <mergeCell ref="A66:G66"/>
    <mergeCell ref="A63:G63"/>
    <mergeCell ref="A67:B68"/>
    <mergeCell ref="A70:B70"/>
    <mergeCell ref="A71:B71"/>
    <mergeCell ref="A95:G95"/>
    <mergeCell ref="A73:B73"/>
    <mergeCell ref="A74:B74"/>
    <mergeCell ref="A97:G97"/>
    <mergeCell ref="A88:G88"/>
    <mergeCell ref="A76:B76"/>
    <mergeCell ref="A77:B77"/>
    <mergeCell ref="A78:B78"/>
    <mergeCell ref="A80:G80"/>
    <mergeCell ref="A82:G82"/>
    <mergeCell ref="A83:G83"/>
    <mergeCell ref="A85:G85"/>
    <mergeCell ref="A86:G86"/>
    <mergeCell ref="A89:G89"/>
    <mergeCell ref="A91:B91"/>
    <mergeCell ref="A92:G92"/>
  </mergeCells>
  <phoneticPr fontId="11" type="noConversion"/>
  <pageMargins left="0.74803149606299213" right="0.74803149606299213" top="0.98425196850393704" bottom="0.98425196850393704" header="0.51181102362204722" footer="0.51181102362204722"/>
  <pageSetup paperSize="9" firstPageNumber="78" orientation="portrait" useFirstPageNumber="1" r:id="rId1"/>
  <headerFooter alignWithMargins="0">
    <oddFooter>&amp;L&amp;8Chartered Accountants Australia New Zealand&amp;C&amp;9&amp;P&amp;R&amp;8VICTORIAN CITY COUNCIL</oddFooter>
  </headerFooter>
  <rowBreaks count="2" manualBreakCount="2">
    <brk id="49" max="6" man="1"/>
    <brk id="84" max="6"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Normal="100" workbookViewId="0">
      <selection activeCell="A40" sqref="A40"/>
    </sheetView>
  </sheetViews>
  <sheetFormatPr defaultRowHeight="13.2" x14ac:dyDescent="0.25"/>
  <cols>
    <col min="1" max="1" width="21.109375" style="21" customWidth="1"/>
    <col min="2" max="2" width="22.88671875" style="17" customWidth="1"/>
    <col min="3" max="3" width="38.88671875" style="17" customWidth="1"/>
    <col min="4" max="4" width="12.88671875" style="17" customWidth="1"/>
    <col min="5" max="5" width="10.5546875" customWidth="1"/>
    <col min="6" max="6" width="10" customWidth="1"/>
  </cols>
  <sheetData>
    <row r="1" spans="1:4" ht="16.8" x14ac:dyDescent="0.3">
      <c r="A1" s="330" t="s">
        <v>1042</v>
      </c>
      <c r="B1" s="727"/>
      <c r="C1" s="727"/>
      <c r="D1" s="727"/>
    </row>
    <row r="2" spans="1:4" ht="16.8" x14ac:dyDescent="0.3">
      <c r="A2" s="1131" t="s">
        <v>399</v>
      </c>
      <c r="B2" s="1131"/>
      <c r="C2" s="1131"/>
      <c r="D2" s="1131"/>
    </row>
    <row r="3" spans="1:4" ht="13.8" x14ac:dyDescent="0.25">
      <c r="A3" s="2"/>
      <c r="B3" s="3"/>
      <c r="C3" s="3"/>
      <c r="D3" s="3"/>
    </row>
    <row r="4" spans="1:4" ht="31.5" customHeight="1" x14ac:dyDescent="0.25">
      <c r="A4" s="942" t="s">
        <v>1191</v>
      </c>
      <c r="B4" s="942"/>
      <c r="C4" s="942"/>
      <c r="D4" s="942"/>
    </row>
    <row r="5" spans="1:4" ht="13.8" x14ac:dyDescent="0.25">
      <c r="A5" s="2"/>
      <c r="B5" s="3"/>
      <c r="C5" s="3"/>
      <c r="D5" s="3"/>
    </row>
    <row r="11" spans="1:4" x14ac:dyDescent="0.25">
      <c r="A11" s="22"/>
    </row>
    <row r="21" spans="1:1" x14ac:dyDescent="0.25">
      <c r="A21" s="22"/>
    </row>
    <row r="49" ht="382.5" customHeight="1" x14ac:dyDescent="0.25"/>
  </sheetData>
  <mergeCells count="2">
    <mergeCell ref="A2:D2"/>
    <mergeCell ref="A4:D4"/>
  </mergeCells>
  <pageMargins left="0.74803149606299213" right="0.74803149606299213" top="0.98425196850393704" bottom="0.98425196850393704" header="0.51181102362204722" footer="0.51181102362204722"/>
  <pageSetup paperSize="9" scale="89" firstPageNumber="82" orientation="portrait" useFirstPageNumber="1" r:id="rId1"/>
  <headerFooter alignWithMargins="0">
    <oddFooter>&amp;L&amp;8Chartered Accountants Australia New Zealand&amp;C&amp;9&amp;P&amp;R&amp;8VICTORIAN CITY COUNCIL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4" zoomScaleNormal="100" zoomScaleSheetLayoutView="100" zoomScalePageLayoutView="115" workbookViewId="0">
      <selection activeCell="A40" sqref="A40"/>
    </sheetView>
  </sheetViews>
  <sheetFormatPr defaultColWidth="8.88671875" defaultRowHeight="13.2" x14ac:dyDescent="0.25"/>
  <cols>
    <col min="1" max="1" width="75.44140625" style="63" customWidth="1"/>
    <col min="2" max="2" width="7.5546875" style="63" customWidth="1"/>
    <col min="3" max="3" width="15.6640625" style="63" customWidth="1"/>
    <col min="4" max="16384" width="8.88671875" style="63"/>
  </cols>
  <sheetData>
    <row r="1" spans="1:3" ht="16.8" x14ac:dyDescent="0.25">
      <c r="A1" s="728" t="s">
        <v>317</v>
      </c>
      <c r="B1" s="83"/>
      <c r="C1" s="83"/>
    </row>
    <row r="2" spans="1:3" x14ac:dyDescent="0.25">
      <c r="A2" s="83"/>
      <c r="B2" s="83"/>
      <c r="C2" s="83"/>
    </row>
    <row r="3" spans="1:3" ht="25.5" customHeight="1" x14ac:dyDescent="0.25">
      <c r="A3" s="949" t="s">
        <v>1408</v>
      </c>
      <c r="B3" s="944"/>
      <c r="C3" s="944"/>
    </row>
    <row r="4" spans="1:3" ht="12.75" customHeight="1" x14ac:dyDescent="0.25">
      <c r="A4" s="83"/>
      <c r="B4" s="83"/>
      <c r="C4" s="83"/>
    </row>
    <row r="5" spans="1:3" ht="39.6" customHeight="1" x14ac:dyDescent="0.25">
      <c r="A5" s="938" t="s">
        <v>403</v>
      </c>
      <c r="B5" s="941"/>
      <c r="C5" s="941"/>
    </row>
    <row r="6" spans="1:3" ht="12.75" customHeight="1" x14ac:dyDescent="0.25">
      <c r="A6" s="322"/>
      <c r="B6" s="729"/>
      <c r="C6" s="729"/>
    </row>
    <row r="7" spans="1:3" ht="102" customHeight="1" x14ac:dyDescent="0.25">
      <c r="A7" s="949" t="s">
        <v>1192</v>
      </c>
      <c r="B7" s="938"/>
      <c r="C7" s="938"/>
    </row>
    <row r="8" spans="1:3" x14ac:dyDescent="0.25">
      <c r="A8" s="83"/>
      <c r="B8" s="83"/>
      <c r="C8" s="83"/>
    </row>
    <row r="9" spans="1:3" ht="63.75" customHeight="1" x14ac:dyDescent="0.25">
      <c r="A9" s="944" t="s">
        <v>1409</v>
      </c>
      <c r="B9" s="944"/>
      <c r="C9" s="944"/>
    </row>
    <row r="10" spans="1:3" x14ac:dyDescent="0.25">
      <c r="A10" s="341"/>
      <c r="B10" s="341"/>
      <c r="C10" s="341"/>
    </row>
    <row r="11" spans="1:3" ht="38.25" customHeight="1" x14ac:dyDescent="0.25">
      <c r="A11" s="949" t="s">
        <v>1410</v>
      </c>
      <c r="B11" s="944"/>
      <c r="C11" s="944"/>
    </row>
    <row r="12" spans="1:3" s="759" customFormat="1" x14ac:dyDescent="0.25">
      <c r="A12" s="753"/>
      <c r="B12" s="753"/>
      <c r="C12" s="753"/>
    </row>
    <row r="13" spans="1:3" s="759" customFormat="1" ht="122.25" customHeight="1" x14ac:dyDescent="0.25">
      <c r="A13" s="949" t="s">
        <v>1309</v>
      </c>
      <c r="B13" s="944"/>
      <c r="C13" s="944"/>
    </row>
    <row r="14" spans="1:3" ht="14.1" customHeight="1" x14ac:dyDescent="0.25">
      <c r="A14" s="879" t="s">
        <v>238</v>
      </c>
      <c r="B14" s="879"/>
      <c r="C14" s="937" t="s">
        <v>334</v>
      </c>
    </row>
    <row r="15" spans="1:3" s="759" customFormat="1" ht="14.1" customHeight="1" x14ac:dyDescent="0.25">
      <c r="A15" s="878" t="s">
        <v>1310</v>
      </c>
      <c r="B15" s="861"/>
      <c r="C15" s="70" t="s">
        <v>1311</v>
      </c>
    </row>
    <row r="16" spans="1:3" ht="14.1" customHeight="1" x14ac:dyDescent="0.25">
      <c r="A16" s="878" t="s">
        <v>1312</v>
      </c>
      <c r="B16" s="625"/>
      <c r="C16" s="70" t="s">
        <v>404</v>
      </c>
    </row>
    <row r="17" spans="1:3" s="759" customFormat="1" ht="14.1" customHeight="1" x14ac:dyDescent="0.25">
      <c r="A17" s="1132" t="s">
        <v>1313</v>
      </c>
      <c r="B17" s="1132"/>
      <c r="C17" s="70" t="s">
        <v>643</v>
      </c>
    </row>
    <row r="18" spans="1:3" s="759" customFormat="1" ht="14.1" customHeight="1" x14ac:dyDescent="0.25">
      <c r="A18" s="1132" t="s">
        <v>1325</v>
      </c>
      <c r="B18" s="1132"/>
      <c r="C18" s="70" t="s">
        <v>1314</v>
      </c>
    </row>
    <row r="19" spans="1:3" ht="14.1" customHeight="1" x14ac:dyDescent="0.25">
      <c r="A19" s="878" t="s">
        <v>1315</v>
      </c>
      <c r="B19" s="625"/>
      <c r="C19" s="70" t="s">
        <v>643</v>
      </c>
    </row>
    <row r="20" spans="1:3" ht="14.1" customHeight="1" x14ac:dyDescent="0.25">
      <c r="A20" s="878" t="s">
        <v>1316</v>
      </c>
      <c r="B20" s="625"/>
      <c r="C20" s="70" t="s">
        <v>411</v>
      </c>
    </row>
    <row r="21" spans="1:3" ht="14.1" customHeight="1" x14ac:dyDescent="0.25">
      <c r="A21" s="878" t="s">
        <v>1411</v>
      </c>
      <c r="B21" s="625"/>
      <c r="C21" s="70" t="s">
        <v>382</v>
      </c>
    </row>
    <row r="22" spans="1:3" ht="14.1" customHeight="1" x14ac:dyDescent="0.25">
      <c r="A22" s="878" t="s">
        <v>1317</v>
      </c>
      <c r="B22" s="625"/>
      <c r="C22" s="70" t="s">
        <v>382</v>
      </c>
    </row>
    <row r="23" spans="1:3" ht="14.1" customHeight="1" x14ac:dyDescent="0.25">
      <c r="A23" s="878" t="s">
        <v>1318</v>
      </c>
      <c r="B23" s="625"/>
      <c r="C23" s="70" t="s">
        <v>382</v>
      </c>
    </row>
    <row r="24" spans="1:3" ht="14.1" customHeight="1" x14ac:dyDescent="0.25">
      <c r="A24" s="878" t="s">
        <v>1319</v>
      </c>
      <c r="B24" s="625"/>
      <c r="C24" s="70" t="s">
        <v>383</v>
      </c>
    </row>
    <row r="25" spans="1:3" ht="14.1" customHeight="1" x14ac:dyDescent="0.25">
      <c r="A25" s="878" t="s">
        <v>1320</v>
      </c>
      <c r="B25" s="625"/>
      <c r="C25" s="70" t="s">
        <v>384</v>
      </c>
    </row>
    <row r="26" spans="1:3" ht="14.1" customHeight="1" x14ac:dyDescent="0.25">
      <c r="A26" s="878" t="s">
        <v>1321</v>
      </c>
      <c r="B26" s="625"/>
      <c r="C26" s="70" t="s">
        <v>384</v>
      </c>
    </row>
    <row r="27" spans="1:3" ht="14.1" customHeight="1" x14ac:dyDescent="0.25">
      <c r="A27" s="878" t="s">
        <v>1322</v>
      </c>
      <c r="B27" s="625"/>
      <c r="C27" s="70" t="s">
        <v>1193</v>
      </c>
    </row>
    <row r="28" spans="1:3" ht="14.1" customHeight="1" x14ac:dyDescent="0.25">
      <c r="A28" s="760" t="s">
        <v>1323</v>
      </c>
      <c r="B28" s="625"/>
      <c r="C28" s="70" t="s">
        <v>470</v>
      </c>
    </row>
    <row r="29" spans="1:3" ht="14.1" customHeight="1" x14ac:dyDescent="0.25">
      <c r="A29" s="760" t="s">
        <v>1324</v>
      </c>
      <c r="B29" s="340"/>
      <c r="C29" s="340"/>
    </row>
    <row r="30" spans="1:3" ht="14.1" customHeight="1" x14ac:dyDescent="0.25"/>
    <row r="49" ht="382.5" customHeight="1" x14ac:dyDescent="0.25"/>
  </sheetData>
  <mergeCells count="8">
    <mergeCell ref="A13:C13"/>
    <mergeCell ref="A17:B17"/>
    <mergeCell ref="A18:B18"/>
    <mergeCell ref="A3:C3"/>
    <mergeCell ref="A9:C9"/>
    <mergeCell ref="A11:C11"/>
    <mergeCell ref="A5:C5"/>
    <mergeCell ref="A7:C7"/>
  </mergeCells>
  <phoneticPr fontId="11" type="noConversion"/>
  <pageMargins left="0.74803149606299213" right="0.74803149606299213" top="0.98425196850393704" bottom="0.98425196850393704" header="0.51181102362204722" footer="0.51181102362204722"/>
  <pageSetup paperSize="9" scale="89" firstPageNumber="2" orientation="portrait" useFirstPageNumber="1" r:id="rId1"/>
  <headerFooter alignWithMargins="0">
    <oddFooter>&amp;L&amp;8Chartered Accountants Australia New Zealand&amp;C&amp;9&amp;P&amp;R&amp;8VICTORIAN CITY COUNCIL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M67"/>
  <sheetViews>
    <sheetView showGridLines="0" topLeftCell="A13" zoomScale="80" zoomScaleNormal="80" workbookViewId="0">
      <selection activeCell="F22" sqref="F22"/>
    </sheetView>
  </sheetViews>
  <sheetFormatPr defaultColWidth="9.109375" defaultRowHeight="14.4" x14ac:dyDescent="0.3"/>
  <cols>
    <col min="1" max="1" width="33.6640625" style="785" customWidth="1"/>
    <col min="2" max="3" width="17.33203125" style="785" bestFit="1" customWidth="1"/>
    <col min="4" max="4" width="15.44140625" style="785" customWidth="1"/>
    <col min="5" max="5" width="9.33203125" style="785" bestFit="1" customWidth="1"/>
    <col min="6" max="6" width="12.44140625" style="785" customWidth="1"/>
    <col min="7" max="7" width="16.109375" style="785" customWidth="1"/>
    <col min="8" max="8" width="14.6640625" style="785" bestFit="1" customWidth="1"/>
    <col min="9" max="9" width="14.88671875" style="785" customWidth="1"/>
    <col min="10" max="10" width="11.109375" style="785" customWidth="1"/>
    <col min="11" max="11" width="62.109375" style="785" bestFit="1" customWidth="1"/>
    <col min="12" max="12" width="18.44140625" style="785" customWidth="1"/>
    <col min="13" max="13" width="12" style="785" bestFit="1" customWidth="1"/>
    <col min="14" max="14" width="17.109375" style="785" customWidth="1"/>
    <col min="15" max="15" width="4.6640625" style="785" customWidth="1"/>
    <col min="16" max="16384" width="9.109375" style="785"/>
  </cols>
  <sheetData>
    <row r="1" spans="1:13" ht="23.4" x14ac:dyDescent="0.45">
      <c r="A1" s="784" t="s">
        <v>1207</v>
      </c>
      <c r="B1" s="784"/>
      <c r="D1" s="857" t="s">
        <v>1261</v>
      </c>
    </row>
    <row r="3" spans="1:13" ht="21" x14ac:dyDescent="0.4">
      <c r="A3" s="786" t="s">
        <v>1208</v>
      </c>
      <c r="B3" s="786"/>
    </row>
    <row r="4" spans="1:13" x14ac:dyDescent="0.3">
      <c r="A4" s="787" t="s">
        <v>1209</v>
      </c>
      <c r="B4" s="788"/>
      <c r="C4" s="789">
        <v>0.02</v>
      </c>
    </row>
    <row r="7" spans="1:13" ht="28.8" x14ac:dyDescent="0.3">
      <c r="A7" s="790" t="s">
        <v>1210</v>
      </c>
      <c r="B7" s="791" t="s">
        <v>1211</v>
      </c>
      <c r="C7" s="791" t="s">
        <v>1229</v>
      </c>
      <c r="D7" s="792" t="s">
        <v>1212</v>
      </c>
      <c r="E7" s="792" t="s">
        <v>1213</v>
      </c>
      <c r="J7" s="793"/>
      <c r="K7" s="790" t="s">
        <v>1225</v>
      </c>
      <c r="L7" s="794">
        <f>B17</f>
        <v>29861426</v>
      </c>
    </row>
    <row r="8" spans="1:13" x14ac:dyDescent="0.3">
      <c r="A8" s="795" t="s">
        <v>1214</v>
      </c>
      <c r="B8" s="796">
        <v>2.4835399999999998E-3</v>
      </c>
      <c r="C8" s="797">
        <f>C14/C30</f>
        <v>2.5229718538823383E-3</v>
      </c>
      <c r="D8" s="798">
        <f>C8-B8</f>
        <v>3.9431853882338462E-5</v>
      </c>
      <c r="E8" s="799">
        <f>D8/B8</f>
        <v>1.5877277548313484E-2</v>
      </c>
      <c r="G8" s="858"/>
      <c r="K8" s="790" t="s">
        <v>1230</v>
      </c>
      <c r="L8" s="794">
        <f>B38</f>
        <v>5988344</v>
      </c>
    </row>
    <row r="9" spans="1:13" x14ac:dyDescent="0.3">
      <c r="A9" s="795" t="s">
        <v>1215</v>
      </c>
      <c r="B9" s="796">
        <v>4.3411600000000002E-3</v>
      </c>
      <c r="C9" s="797">
        <f>C15/C31</f>
        <v>4.5164013964982897E-3</v>
      </c>
      <c r="D9" s="798">
        <f>C9-B9</f>
        <v>1.7524139649828952E-4</v>
      </c>
      <c r="E9" s="799">
        <f t="shared" ref="E9:E10" si="0">D9/B9</f>
        <v>4.0367412511469171E-2</v>
      </c>
      <c r="G9" s="858"/>
      <c r="K9" s="790" t="s">
        <v>1249</v>
      </c>
      <c r="L9" s="800">
        <f>I33</f>
        <v>165972.39170223998</v>
      </c>
    </row>
    <row r="10" spans="1:13" x14ac:dyDescent="0.3">
      <c r="A10" s="795" t="s">
        <v>1216</v>
      </c>
      <c r="B10" s="796">
        <v>4.3411600000000002E-3</v>
      </c>
      <c r="C10" s="797">
        <f>C16/C32</f>
        <v>4.5164059406217066E-3</v>
      </c>
      <c r="D10" s="798">
        <f t="shared" ref="D10" si="1">C10-B10</f>
        <v>1.7524594062170648E-4</v>
      </c>
      <c r="E10" s="799">
        <f t="shared" si="0"/>
        <v>4.0368459264737186E-2</v>
      </c>
      <c r="K10" s="790" t="s">
        <v>1250</v>
      </c>
      <c r="L10" s="800">
        <f>G37</f>
        <v>63735</v>
      </c>
    </row>
    <row r="11" spans="1:13" x14ac:dyDescent="0.3">
      <c r="K11" s="801"/>
      <c r="L11" s="802"/>
      <c r="M11" s="803"/>
    </row>
    <row r="12" spans="1:13" x14ac:dyDescent="0.3">
      <c r="M12" s="804"/>
    </row>
    <row r="13" spans="1:13" ht="28.8" x14ac:dyDescent="0.3">
      <c r="A13" s="790" t="s">
        <v>1217</v>
      </c>
      <c r="B13" s="805">
        <v>42552</v>
      </c>
      <c r="C13" s="805">
        <v>42917</v>
      </c>
      <c r="D13" s="792" t="s">
        <v>1212</v>
      </c>
      <c r="E13" s="792" t="s">
        <v>1213</v>
      </c>
      <c r="G13" s="792" t="s">
        <v>1219</v>
      </c>
      <c r="H13" s="806"/>
      <c r="K13" s="807" t="s">
        <v>1251</v>
      </c>
      <c r="L13" s="808">
        <f>C24</f>
        <v>57098</v>
      </c>
    </row>
    <row r="14" spans="1:13" x14ac:dyDescent="0.3">
      <c r="A14" s="795" t="s">
        <v>1214</v>
      </c>
      <c r="B14" s="809">
        <v>22158764</v>
      </c>
      <c r="C14" s="810">
        <f>$L$29*G14</f>
        <v>22773989.056939308</v>
      </c>
      <c r="D14" s="811">
        <f>C14-B14</f>
        <v>615225.0569393076</v>
      </c>
      <c r="E14" s="799">
        <f>D14/B14</f>
        <v>2.7764412172958185E-2</v>
      </c>
      <c r="G14" s="812">
        <f>B14/$B$17</f>
        <v>0.74205310891716958</v>
      </c>
      <c r="H14" s="806"/>
      <c r="K14" s="813"/>
      <c r="L14" s="814"/>
    </row>
    <row r="15" spans="1:13" x14ac:dyDescent="0.3">
      <c r="A15" s="795" t="s">
        <v>1215</v>
      </c>
      <c r="B15" s="809">
        <v>4126390</v>
      </c>
      <c r="C15" s="810">
        <f>$L$29*G15</f>
        <v>4240956.7927463725</v>
      </c>
      <c r="D15" s="811">
        <f>C15-B15</f>
        <v>114566.79274637252</v>
      </c>
      <c r="E15" s="799">
        <f>D15/B15</f>
        <v>2.7764412172958088E-2</v>
      </c>
      <c r="G15" s="812">
        <f t="shared" ref="G15:G16" si="2">B15/$B$17</f>
        <v>0.13818462654797531</v>
      </c>
      <c r="H15" s="806"/>
    </row>
    <row r="16" spans="1:13" x14ac:dyDescent="0.3">
      <c r="A16" s="795" t="s">
        <v>1216</v>
      </c>
      <c r="B16" s="809">
        <v>3576272</v>
      </c>
      <c r="C16" s="810">
        <f>$L$29*G16</f>
        <v>3675565.0898506092</v>
      </c>
      <c r="D16" s="811">
        <f>C16-B16</f>
        <v>99293.089850609191</v>
      </c>
      <c r="E16" s="799">
        <f>D16/B16</f>
        <v>2.7764412172958094E-2</v>
      </c>
      <c r="G16" s="812">
        <f t="shared" si="2"/>
        <v>0.1197622645348551</v>
      </c>
      <c r="H16" s="806"/>
      <c r="K16" s="815" t="s">
        <v>1252</v>
      </c>
      <c r="L16" s="816">
        <f>SUM(L7:L10)/L13</f>
        <v>631.88688555995384</v>
      </c>
    </row>
    <row r="17" spans="1:12" x14ac:dyDescent="0.3">
      <c r="A17" s="817" t="s">
        <v>1253</v>
      </c>
      <c r="B17" s="818">
        <f>SUM(B14:B16)</f>
        <v>29861426</v>
      </c>
      <c r="C17" s="818">
        <f>SUM(C14:C16)</f>
        <v>30690510.939536288</v>
      </c>
      <c r="D17" s="811"/>
      <c r="E17" s="799"/>
      <c r="G17" s="819">
        <f>SUM(G14:G16)</f>
        <v>1</v>
      </c>
      <c r="H17" s="806"/>
    </row>
    <row r="18" spans="1:12" x14ac:dyDescent="0.3">
      <c r="B18" s="820"/>
      <c r="C18" s="820"/>
      <c r="D18" s="820"/>
      <c r="E18" s="821"/>
      <c r="H18" s="806"/>
    </row>
    <row r="19" spans="1:12" x14ac:dyDescent="0.3">
      <c r="H19" s="806"/>
      <c r="K19" s="787" t="s">
        <v>1209</v>
      </c>
      <c r="L19" s="822">
        <f>C4</f>
        <v>0.02</v>
      </c>
    </row>
    <row r="20" spans="1:12" ht="28.8" x14ac:dyDescent="0.3">
      <c r="A20" s="807" t="s">
        <v>1218</v>
      </c>
      <c r="B20" s="791" t="s">
        <v>1211</v>
      </c>
      <c r="C20" s="791" t="s">
        <v>1229</v>
      </c>
      <c r="D20" s="792" t="s">
        <v>1212</v>
      </c>
      <c r="E20" s="792" t="s">
        <v>1213</v>
      </c>
      <c r="H20" s="806"/>
      <c r="K20" s="801"/>
      <c r="L20" s="823"/>
    </row>
    <row r="21" spans="1:12" x14ac:dyDescent="0.3">
      <c r="A21" s="824" t="s">
        <v>185</v>
      </c>
      <c r="B21" s="825">
        <v>51909</v>
      </c>
      <c r="C21" s="826">
        <v>52584</v>
      </c>
      <c r="D21" s="827">
        <f>C21-B21</f>
        <v>675</v>
      </c>
      <c r="E21" s="799">
        <f>D21/B21</f>
        <v>1.3003525400219615E-2</v>
      </c>
      <c r="G21" s="859"/>
      <c r="H21" s="859"/>
    </row>
    <row r="22" spans="1:12" x14ac:dyDescent="0.3">
      <c r="A22" s="824" t="s">
        <v>418</v>
      </c>
      <c r="B22" s="825">
        <v>2496</v>
      </c>
      <c r="C22" s="826">
        <v>2428</v>
      </c>
      <c r="D22" s="827">
        <f t="shared" ref="D22:D23" si="3">C22-B22</f>
        <v>-68</v>
      </c>
      <c r="E22" s="799">
        <f t="shared" ref="E22:E24" si="4">D22/B22</f>
        <v>-2.7243589743589744E-2</v>
      </c>
      <c r="G22" s="859"/>
      <c r="H22" s="859"/>
      <c r="K22" s="815" t="s">
        <v>1254</v>
      </c>
      <c r="L22" s="828">
        <f>L16*(1+L19)</f>
        <v>644.5246232711529</v>
      </c>
    </row>
    <row r="23" spans="1:12" x14ac:dyDescent="0.3">
      <c r="A23" s="824" t="s">
        <v>595</v>
      </c>
      <c r="B23" s="825">
        <v>2086</v>
      </c>
      <c r="C23" s="826">
        <v>2086</v>
      </c>
      <c r="D23" s="827">
        <f t="shared" si="3"/>
        <v>0</v>
      </c>
      <c r="E23" s="799">
        <f t="shared" si="4"/>
        <v>0</v>
      </c>
      <c r="G23" s="859"/>
      <c r="H23" s="859"/>
      <c r="K23" s="829"/>
      <c r="L23" s="829"/>
    </row>
    <row r="24" spans="1:12" x14ac:dyDescent="0.3">
      <c r="A24" s="817" t="s">
        <v>1253</v>
      </c>
      <c r="B24" s="830">
        <f>SUM(B21:B23)</f>
        <v>56491</v>
      </c>
      <c r="C24" s="831">
        <f>SUM(C21:C23)</f>
        <v>57098</v>
      </c>
      <c r="D24" s="832">
        <f>C24-B24</f>
        <v>607</v>
      </c>
      <c r="E24" s="799">
        <f t="shared" si="4"/>
        <v>1.0745074436635924E-2</v>
      </c>
      <c r="G24" s="859"/>
      <c r="H24" s="859"/>
      <c r="K24" s="829"/>
      <c r="L24" s="829"/>
    </row>
    <row r="25" spans="1:12" x14ac:dyDescent="0.3">
      <c r="A25" s="833" t="s">
        <v>1255</v>
      </c>
      <c r="B25" s="825">
        <v>10</v>
      </c>
      <c r="C25" s="826">
        <v>10</v>
      </c>
      <c r="D25" s="827">
        <f>C25-B25</f>
        <v>0</v>
      </c>
      <c r="E25" s="799">
        <f>D25/B25</f>
        <v>0</v>
      </c>
      <c r="G25" s="859"/>
      <c r="H25" s="859"/>
      <c r="K25" s="807" t="s">
        <v>1256</v>
      </c>
      <c r="L25" s="808">
        <f>C24</f>
        <v>57098</v>
      </c>
    </row>
    <row r="26" spans="1:12" x14ac:dyDescent="0.3">
      <c r="A26" s="817" t="s">
        <v>1253</v>
      </c>
      <c r="B26" s="830">
        <f>SUM(B24:B25)</f>
        <v>56501</v>
      </c>
      <c r="C26" s="830">
        <f>SUM(C24:C25)</f>
        <v>57108</v>
      </c>
      <c r="D26" s="832">
        <f>SUM(D24:D25)</f>
        <v>607</v>
      </c>
      <c r="E26" s="799">
        <f>D26/B26</f>
        <v>1.0743172687209077E-2</v>
      </c>
      <c r="G26" s="834"/>
    </row>
    <row r="27" spans="1:12" x14ac:dyDescent="0.3">
      <c r="A27" s="806"/>
      <c r="B27" s="806"/>
      <c r="C27" s="806"/>
      <c r="D27" s="806"/>
      <c r="E27" s="806"/>
      <c r="F27" s="834"/>
      <c r="G27" s="834"/>
      <c r="K27" s="815" t="s">
        <v>1257</v>
      </c>
      <c r="L27" s="835">
        <f>L22*L25</f>
        <v>36801066.939536288</v>
      </c>
    </row>
    <row r="28" spans="1:12" x14ac:dyDescent="0.3">
      <c r="G28" s="1133" t="s">
        <v>1220</v>
      </c>
      <c r="H28" s="1133"/>
      <c r="I28" s="1133"/>
    </row>
    <row r="29" spans="1:12" ht="28.8" x14ac:dyDescent="0.3">
      <c r="A29" s="807" t="s">
        <v>1221</v>
      </c>
      <c r="B29" s="836">
        <v>42552</v>
      </c>
      <c r="C29" s="836">
        <v>42917</v>
      </c>
      <c r="D29" s="792" t="s">
        <v>1212</v>
      </c>
      <c r="E29" s="792" t="s">
        <v>1213</v>
      </c>
      <c r="G29" s="837" t="s">
        <v>1222</v>
      </c>
      <c r="H29" s="837" t="s">
        <v>1223</v>
      </c>
      <c r="I29" s="837" t="s">
        <v>1224</v>
      </c>
      <c r="J29" s="793"/>
      <c r="K29" s="790" t="s">
        <v>1231</v>
      </c>
      <c r="L29" s="816">
        <f>L27-C38</f>
        <v>30690510.939536288</v>
      </c>
    </row>
    <row r="30" spans="1:12" x14ac:dyDescent="0.3">
      <c r="A30" s="838" t="s">
        <v>185</v>
      </c>
      <c r="B30" s="839">
        <v>8922249818</v>
      </c>
      <c r="C30" s="839">
        <v>9026652050</v>
      </c>
      <c r="D30" s="827">
        <f>C30-B30</f>
        <v>104402232</v>
      </c>
      <c r="E30" s="799">
        <f>D30/B30</f>
        <v>1.1701334767535423E-2</v>
      </c>
      <c r="G30" s="840">
        <f>C30-B30</f>
        <v>104402232</v>
      </c>
      <c r="H30" s="841">
        <f>B8</f>
        <v>2.4835399999999998E-3</v>
      </c>
      <c r="I30" s="840">
        <f>G30*H30</f>
        <v>259287.11926127996</v>
      </c>
      <c r="J30" s="842"/>
      <c r="K30" s="790" t="s">
        <v>1258</v>
      </c>
      <c r="L30" s="816">
        <f>C38</f>
        <v>6110556</v>
      </c>
    </row>
    <row r="31" spans="1:12" x14ac:dyDescent="0.3">
      <c r="A31" s="824" t="s">
        <v>418</v>
      </c>
      <c r="B31" s="839">
        <v>950527144</v>
      </c>
      <c r="C31" s="839">
        <v>939012373</v>
      </c>
      <c r="D31" s="827">
        <f t="shared" ref="D31:D32" si="5">C31-B31</f>
        <v>-11514771</v>
      </c>
      <c r="E31" s="799">
        <f t="shared" ref="E31:E33" si="6">D31/B31</f>
        <v>-1.2114089610890692E-2</v>
      </c>
      <c r="G31" s="840">
        <f>C31-B31</f>
        <v>-11514771</v>
      </c>
      <c r="H31" s="841">
        <f>B9</f>
        <v>4.3411600000000002E-3</v>
      </c>
      <c r="I31" s="840">
        <f t="shared" ref="I31:I32" si="7">G31*H31</f>
        <v>-49987.463274360001</v>
      </c>
      <c r="J31" s="843"/>
      <c r="L31" s="811">
        <f>SUM(L29:L30)</f>
        <v>36801066.939536288</v>
      </c>
    </row>
    <row r="32" spans="1:12" x14ac:dyDescent="0.3">
      <c r="A32" s="824" t="s">
        <v>595</v>
      </c>
      <c r="B32" s="839">
        <v>823805800</v>
      </c>
      <c r="C32" s="839">
        <v>813825227</v>
      </c>
      <c r="D32" s="827">
        <f t="shared" si="5"/>
        <v>-9980573</v>
      </c>
      <c r="E32" s="799">
        <f t="shared" si="6"/>
        <v>-1.2115201179695506E-2</v>
      </c>
      <c r="G32" s="840">
        <f>C32-B32</f>
        <v>-9980573</v>
      </c>
      <c r="H32" s="841">
        <f>B10</f>
        <v>4.3411600000000002E-3</v>
      </c>
      <c r="I32" s="840">
        <f t="shared" si="7"/>
        <v>-43327.264284680001</v>
      </c>
      <c r="J32" s="843"/>
    </row>
    <row r="33" spans="1:12" x14ac:dyDescent="0.3">
      <c r="A33" s="817" t="s">
        <v>1253</v>
      </c>
      <c r="B33" s="830">
        <f>SUM(B30:B32)</f>
        <v>10696582762</v>
      </c>
      <c r="C33" s="830">
        <f>SUM(C30:C32)</f>
        <v>10779489650</v>
      </c>
      <c r="D33" s="830">
        <f>SUM(D30:D32)</f>
        <v>82906888</v>
      </c>
      <c r="E33" s="844">
        <f t="shared" si="6"/>
        <v>7.7507826419601729E-3</v>
      </c>
      <c r="G33" s="845">
        <f>SUM(G30:G32)</f>
        <v>82906888</v>
      </c>
      <c r="H33" s="846"/>
      <c r="I33" s="847">
        <f>SUM(I30:I32)</f>
        <v>165972.39170223998</v>
      </c>
      <c r="J33" s="843"/>
      <c r="L33" s="848"/>
    </row>
    <row r="34" spans="1:12" x14ac:dyDescent="0.3">
      <c r="A34" s="849"/>
      <c r="B34" s="850"/>
      <c r="C34" s="850"/>
      <c r="D34" s="850"/>
      <c r="E34" s="851"/>
      <c r="G34" s="852"/>
      <c r="H34" s="852"/>
      <c r="I34" s="852"/>
      <c r="J34" s="853"/>
      <c r="L34" s="859"/>
    </row>
    <row r="35" spans="1:12" x14ac:dyDescent="0.3">
      <c r="I35" s="803"/>
    </row>
    <row r="36" spans="1:12" ht="28.8" x14ac:dyDescent="0.3">
      <c r="B36" s="791" t="s">
        <v>1211</v>
      </c>
      <c r="C36" s="791" t="s">
        <v>1229</v>
      </c>
      <c r="D36" s="792" t="s">
        <v>1212</v>
      </c>
      <c r="E36" s="792" t="s">
        <v>1213</v>
      </c>
      <c r="G36" s="1133" t="s">
        <v>1226</v>
      </c>
      <c r="H36" s="1133"/>
      <c r="I36" s="1133"/>
      <c r="J36" s="793"/>
    </row>
    <row r="37" spans="1:12" x14ac:dyDescent="0.3">
      <c r="A37" s="790" t="s">
        <v>1227</v>
      </c>
      <c r="B37" s="854">
        <v>105</v>
      </c>
      <c r="C37" s="854">
        <v>107</v>
      </c>
      <c r="D37" s="827">
        <f>C37-B37</f>
        <v>2</v>
      </c>
      <c r="E37" s="799">
        <f>D37/B37</f>
        <v>1.9047619047619049E-2</v>
      </c>
      <c r="G37" s="847">
        <f>B37*D26</f>
        <v>63735</v>
      </c>
      <c r="I37" s="804"/>
    </row>
    <row r="38" spans="1:12" x14ac:dyDescent="0.3">
      <c r="A38" s="790" t="s">
        <v>1228</v>
      </c>
      <c r="B38" s="854">
        <v>5988344</v>
      </c>
      <c r="C38" s="830">
        <f>C37*C26</f>
        <v>6110556</v>
      </c>
      <c r="D38" s="827">
        <f>C38-B38</f>
        <v>122212</v>
      </c>
      <c r="E38" s="799">
        <f>D38/B38</f>
        <v>2.0408313216475207E-2</v>
      </c>
    </row>
    <row r="40" spans="1:12" x14ac:dyDescent="0.3">
      <c r="B40" s="855">
        <f>B17+B38</f>
        <v>35849770</v>
      </c>
      <c r="C40" s="855">
        <f>C17+C38</f>
        <v>36801066.939536288</v>
      </c>
      <c r="D40" s="827">
        <f>C40-B40</f>
        <v>951296.93953628838</v>
      </c>
      <c r="E40" s="799">
        <f>D40/B40</f>
        <v>2.6535649727635308E-2</v>
      </c>
    </row>
    <row r="44" spans="1:12" x14ac:dyDescent="0.3">
      <c r="A44" s="785" t="s">
        <v>1259</v>
      </c>
    </row>
    <row r="45" spans="1:12" x14ac:dyDescent="0.3">
      <c r="A45" s="785" t="s">
        <v>1260</v>
      </c>
    </row>
    <row r="49" spans="2:9" x14ac:dyDescent="0.3">
      <c r="H49" s="859"/>
      <c r="I49" s="859"/>
    </row>
    <row r="50" spans="2:9" x14ac:dyDescent="0.3">
      <c r="H50" s="859"/>
      <c r="I50" s="859"/>
    </row>
    <row r="51" spans="2:9" x14ac:dyDescent="0.3">
      <c r="H51" s="859"/>
      <c r="I51" s="859"/>
    </row>
    <row r="63" spans="2:9" x14ac:dyDescent="0.3">
      <c r="B63" s="803"/>
      <c r="C63" s="803"/>
      <c r="D63" s="856"/>
    </row>
    <row r="64" spans="2:9" x14ac:dyDescent="0.3">
      <c r="B64" s="803"/>
      <c r="C64" s="803"/>
      <c r="D64" s="856"/>
    </row>
    <row r="65" spans="2:4" x14ac:dyDescent="0.3">
      <c r="B65" s="803"/>
      <c r="C65" s="803"/>
      <c r="D65" s="856"/>
    </row>
    <row r="66" spans="2:4" x14ac:dyDescent="0.3">
      <c r="B66" s="803"/>
      <c r="C66" s="803"/>
    </row>
    <row r="67" spans="2:4" x14ac:dyDescent="0.3">
      <c r="B67" s="803"/>
      <c r="C67" s="803"/>
      <c r="D67" s="856"/>
    </row>
  </sheetData>
  <mergeCells count="2">
    <mergeCell ref="G28:I28"/>
    <mergeCell ref="G36:I36"/>
  </mergeCells>
  <pageMargins left="0.70866141732283472" right="0.70866141732283472" top="0.74803149606299213" bottom="0.74803149606299213" header="0.31496062992125984" footer="0.31496062992125984"/>
  <pageSetup paperSize="8"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view="pageBreakPreview" zoomScaleNormal="100" zoomScaleSheetLayoutView="100" zoomScalePageLayoutView="70" workbookViewId="0">
      <selection activeCell="A40" sqref="A40"/>
    </sheetView>
  </sheetViews>
  <sheetFormatPr defaultColWidth="9.109375" defaultRowHeight="13.2" x14ac:dyDescent="0.25"/>
  <cols>
    <col min="1" max="1" width="84.5546875" style="329" customWidth="1"/>
    <col min="2" max="2" width="0.6640625" style="234" customWidth="1"/>
    <col min="3" max="16384" width="9.109375" style="222"/>
  </cols>
  <sheetData>
    <row r="1" spans="1:5" ht="15.6" x14ac:dyDescent="0.3">
      <c r="A1" s="327" t="s">
        <v>1009</v>
      </c>
      <c r="B1" s="266"/>
    </row>
    <row r="2" spans="1:5" ht="15.6" x14ac:dyDescent="0.3">
      <c r="A2" s="328"/>
      <c r="B2" s="266"/>
    </row>
    <row r="3" spans="1:5" ht="39.6" x14ac:dyDescent="0.25">
      <c r="A3" s="919" t="s">
        <v>1332</v>
      </c>
    </row>
    <row r="4" spans="1:5" ht="92.4" x14ac:dyDescent="0.25">
      <c r="A4" s="900" t="s">
        <v>1011</v>
      </c>
    </row>
    <row r="5" spans="1:5" ht="39.6" x14ac:dyDescent="0.25">
      <c r="A5" s="919" t="s">
        <v>1204</v>
      </c>
    </row>
    <row r="6" spans="1:5" x14ac:dyDescent="0.25">
      <c r="A6" s="900"/>
      <c r="B6" s="267"/>
    </row>
    <row r="7" spans="1:5" ht="52.8" x14ac:dyDescent="0.25">
      <c r="A7" s="900" t="s">
        <v>1012</v>
      </c>
    </row>
    <row r="8" spans="1:5" x14ac:dyDescent="0.25">
      <c r="A8" s="900"/>
      <c r="B8" s="267"/>
    </row>
    <row r="9" spans="1:5" ht="92.4" x14ac:dyDescent="0.25">
      <c r="A9" s="900" t="s">
        <v>1330</v>
      </c>
    </row>
    <row r="10" spans="1:5" x14ac:dyDescent="0.25">
      <c r="A10" s="900"/>
    </row>
    <row r="11" spans="1:5" ht="26.4" x14ac:dyDescent="0.25">
      <c r="A11" s="900" t="s">
        <v>1333</v>
      </c>
    </row>
    <row r="12" spans="1:5" x14ac:dyDescent="0.25">
      <c r="A12" s="900"/>
    </row>
    <row r="13" spans="1:5" ht="76.5" customHeight="1" x14ac:dyDescent="0.25">
      <c r="A13" s="900" t="s">
        <v>1334</v>
      </c>
    </row>
    <row r="14" spans="1:5" s="234" customFormat="1" x14ac:dyDescent="0.25">
      <c r="A14" s="920"/>
      <c r="E14" s="222"/>
    </row>
    <row r="15" spans="1:5" ht="26.4" x14ac:dyDescent="0.25">
      <c r="A15" s="921" t="s">
        <v>1263</v>
      </c>
    </row>
    <row r="16" spans="1:5" ht="12" customHeight="1" x14ac:dyDescent="0.25">
      <c r="A16" s="921"/>
    </row>
    <row r="17" spans="1:1" ht="26.4" x14ac:dyDescent="0.25">
      <c r="A17" s="921" t="s">
        <v>1264</v>
      </c>
    </row>
    <row r="18" spans="1:1" x14ac:dyDescent="0.25">
      <c r="A18" s="921"/>
    </row>
    <row r="19" spans="1:1" ht="184.95" customHeight="1" x14ac:dyDescent="0.25">
      <c r="A19" s="921" t="s">
        <v>1081</v>
      </c>
    </row>
    <row r="20" spans="1:1" x14ac:dyDescent="0.25">
      <c r="A20" s="921"/>
    </row>
    <row r="21" spans="1:1" ht="130.19999999999999" customHeight="1" x14ac:dyDescent="0.25">
      <c r="A21" s="921" t="s">
        <v>1232</v>
      </c>
    </row>
    <row r="22" spans="1:1" x14ac:dyDescent="0.25">
      <c r="A22" s="921"/>
    </row>
    <row r="23" spans="1:1" ht="118.8" x14ac:dyDescent="0.25">
      <c r="A23" s="921" t="s">
        <v>1014</v>
      </c>
    </row>
    <row r="24" spans="1:1" x14ac:dyDescent="0.25">
      <c r="A24" s="921"/>
    </row>
    <row r="25" spans="1:1" ht="92.4" x14ac:dyDescent="0.25">
      <c r="A25" s="921" t="s">
        <v>1013</v>
      </c>
    </row>
    <row r="26" spans="1:1" x14ac:dyDescent="0.25">
      <c r="A26" s="921"/>
    </row>
    <row r="27" spans="1:1" ht="105.6" x14ac:dyDescent="0.25">
      <c r="A27" s="921" t="s">
        <v>1233</v>
      </c>
    </row>
    <row r="50" ht="382.5" customHeight="1" x14ac:dyDescent="0.25"/>
  </sheetData>
  <pageMargins left="0.74803149606299213" right="0.74803149606299213" top="0.98425196850393704" bottom="0.98425196850393704" header="0.51181102362204722" footer="0.51181102362204722"/>
  <pageSetup paperSize="9" firstPageNumber="2" orientation="portrait" useFirstPageNumber="1" r:id="rId1"/>
  <headerFooter alignWithMargins="0">
    <oddFooter>&amp;L&amp;8Chartered Accountants Australia New Zealand&amp;C&amp;9&amp;P&amp;R&amp;8VICTORIAN CITY COUNCIL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view="pageBreakPreview" topLeftCell="A53" zoomScaleNormal="100" zoomScaleSheetLayoutView="100" zoomScalePageLayoutView="70" workbookViewId="0">
      <selection activeCell="A24" sqref="A24:B48"/>
    </sheetView>
  </sheetViews>
  <sheetFormatPr defaultColWidth="9.109375" defaultRowHeight="13.2" x14ac:dyDescent="0.25"/>
  <cols>
    <col min="1" max="1" width="87.6640625" style="907" customWidth="1"/>
    <col min="2" max="2" width="9.109375" style="906" customWidth="1"/>
    <col min="3" max="4" width="9.109375" style="906"/>
    <col min="5" max="5" width="16.33203125" style="906" bestFit="1" customWidth="1"/>
    <col min="6" max="16384" width="9.109375" style="906"/>
  </cols>
  <sheetData>
    <row r="1" spans="1:2" ht="16.8" x14ac:dyDescent="0.25">
      <c r="A1" s="910" t="s">
        <v>826</v>
      </c>
    </row>
    <row r="2" spans="1:2" x14ac:dyDescent="0.25">
      <c r="A2" s="922"/>
    </row>
    <row r="3" spans="1:2" ht="39.6" customHeight="1" x14ac:dyDescent="0.25">
      <c r="A3" s="938" t="s">
        <v>1327</v>
      </c>
      <c r="B3" s="938"/>
    </row>
    <row r="4" spans="1:2" x14ac:dyDescent="0.25">
      <c r="A4" s="906"/>
    </row>
    <row r="5" spans="1:2" ht="26.4" customHeight="1" x14ac:dyDescent="0.25">
      <c r="A5" s="938" t="s">
        <v>1205</v>
      </c>
      <c r="B5" s="938"/>
    </row>
    <row r="6" spans="1:2" x14ac:dyDescent="0.25">
      <c r="A6" s="906"/>
    </row>
    <row r="7" spans="1:2" ht="105.6" customHeight="1" x14ac:dyDescent="0.25">
      <c r="A7" s="938" t="s">
        <v>1015</v>
      </c>
      <c r="B7" s="938"/>
    </row>
    <row r="8" spans="1:2" x14ac:dyDescent="0.25">
      <c r="A8" s="906"/>
    </row>
    <row r="9" spans="1:2" ht="38.25" customHeight="1" x14ac:dyDescent="0.25">
      <c r="A9" s="938" t="s">
        <v>1335</v>
      </c>
      <c r="B9" s="938"/>
    </row>
    <row r="10" spans="1:2" ht="9.9" customHeight="1" x14ac:dyDescent="0.25">
      <c r="A10" s="906"/>
    </row>
    <row r="11" spans="1:2" ht="105.6" customHeight="1" x14ac:dyDescent="0.25">
      <c r="A11" s="939" t="s">
        <v>1328</v>
      </c>
      <c r="B11" s="939"/>
    </row>
    <row r="13" spans="1:2" ht="52.95" customHeight="1" x14ac:dyDescent="0.25">
      <c r="A13" s="938" t="s">
        <v>1016</v>
      </c>
      <c r="B13" s="938"/>
    </row>
    <row r="14" spans="1:2" x14ac:dyDescent="0.25">
      <c r="A14" s="906"/>
    </row>
    <row r="15" spans="1:2" ht="66" customHeight="1" x14ac:dyDescent="0.25">
      <c r="A15" s="938" t="s">
        <v>1082</v>
      </c>
      <c r="B15" s="938"/>
    </row>
    <row r="16" spans="1:2" x14ac:dyDescent="0.25">
      <c r="A16" s="906"/>
    </row>
    <row r="17" spans="1:8" ht="39.6" customHeight="1" x14ac:dyDescent="0.25">
      <c r="A17" s="938" t="s">
        <v>1017</v>
      </c>
      <c r="B17" s="938"/>
    </row>
    <row r="18" spans="1:8" x14ac:dyDescent="0.25">
      <c r="A18" s="906"/>
    </row>
    <row r="19" spans="1:8" s="905" customFormat="1" ht="105.6" customHeight="1" x14ac:dyDescent="0.25">
      <c r="A19" s="939" t="s">
        <v>1235</v>
      </c>
      <c r="B19" s="939"/>
    </row>
    <row r="20" spans="1:8" x14ac:dyDescent="0.25">
      <c r="A20" s="906"/>
      <c r="E20" s="905"/>
      <c r="F20" s="905"/>
      <c r="G20" s="905"/>
      <c r="H20" s="905"/>
    </row>
    <row r="21" spans="1:8" ht="224.25" customHeight="1" x14ac:dyDescent="0.25">
      <c r="A21" s="938" t="s">
        <v>1329</v>
      </c>
      <c r="B21" s="938"/>
      <c r="E21" s="905"/>
      <c r="F21" s="905"/>
      <c r="G21" s="905"/>
      <c r="H21" s="905"/>
    </row>
    <row r="22" spans="1:8" x14ac:dyDescent="0.25">
      <c r="A22" s="906"/>
    </row>
    <row r="23" spans="1:8" ht="253.5" customHeight="1" x14ac:dyDescent="0.25">
      <c r="A23" s="938" t="s">
        <v>1236</v>
      </c>
      <c r="B23" s="938"/>
    </row>
    <row r="24" spans="1:8" x14ac:dyDescent="0.25">
      <c r="A24" s="941"/>
      <c r="B24" s="941"/>
    </row>
    <row r="25" spans="1:8" x14ac:dyDescent="0.25">
      <c r="A25" s="941"/>
      <c r="B25" s="941"/>
    </row>
    <row r="26" spans="1:8" x14ac:dyDescent="0.25">
      <c r="A26" s="941"/>
      <c r="B26" s="941"/>
    </row>
    <row r="27" spans="1:8" x14ac:dyDescent="0.25">
      <c r="A27" s="941"/>
      <c r="B27" s="941"/>
    </row>
    <row r="28" spans="1:8" x14ac:dyDescent="0.25">
      <c r="A28" s="941"/>
      <c r="B28" s="941"/>
    </row>
    <row r="29" spans="1:8" x14ac:dyDescent="0.25">
      <c r="A29" s="941"/>
      <c r="B29" s="941"/>
    </row>
    <row r="30" spans="1:8" x14ac:dyDescent="0.25">
      <c r="A30" s="941"/>
      <c r="B30" s="941"/>
    </row>
    <row r="31" spans="1:8" x14ac:dyDescent="0.25">
      <c r="A31" s="941"/>
      <c r="B31" s="941"/>
    </row>
    <row r="32" spans="1:8" x14ac:dyDescent="0.25">
      <c r="A32" s="941"/>
      <c r="B32" s="941"/>
    </row>
    <row r="33" spans="1:2" x14ac:dyDescent="0.25">
      <c r="A33" s="941"/>
      <c r="B33" s="941"/>
    </row>
    <row r="34" spans="1:2" x14ac:dyDescent="0.25">
      <c r="A34" s="941"/>
      <c r="B34" s="941"/>
    </row>
    <row r="35" spans="1:2" x14ac:dyDescent="0.25">
      <c r="A35" s="941"/>
      <c r="B35" s="941"/>
    </row>
    <row r="36" spans="1:2" x14ac:dyDescent="0.25">
      <c r="A36" s="941"/>
      <c r="B36" s="941"/>
    </row>
    <row r="37" spans="1:2" x14ac:dyDescent="0.25">
      <c r="A37" s="941"/>
      <c r="B37" s="941"/>
    </row>
    <row r="38" spans="1:2" x14ac:dyDescent="0.25">
      <c r="A38" s="941"/>
      <c r="B38" s="941"/>
    </row>
    <row r="39" spans="1:2" x14ac:dyDescent="0.25">
      <c r="A39" s="941"/>
      <c r="B39" s="941"/>
    </row>
    <row r="40" spans="1:2" x14ac:dyDescent="0.25">
      <c r="A40" s="941"/>
      <c r="B40" s="941"/>
    </row>
    <row r="41" spans="1:2" x14ac:dyDescent="0.25">
      <c r="A41" s="941"/>
      <c r="B41" s="941"/>
    </row>
    <row r="42" spans="1:2" x14ac:dyDescent="0.25">
      <c r="A42" s="941"/>
      <c r="B42" s="941"/>
    </row>
    <row r="43" spans="1:2" x14ac:dyDescent="0.25">
      <c r="A43" s="941"/>
      <c r="B43" s="941"/>
    </row>
    <row r="44" spans="1:2" x14ac:dyDescent="0.25">
      <c r="A44" s="941"/>
      <c r="B44" s="941"/>
    </row>
    <row r="45" spans="1:2" x14ac:dyDescent="0.25">
      <c r="A45" s="941"/>
      <c r="B45" s="941"/>
    </row>
    <row r="46" spans="1:2" x14ac:dyDescent="0.25">
      <c r="A46" s="941"/>
      <c r="B46" s="941"/>
    </row>
    <row r="47" spans="1:2" x14ac:dyDescent="0.25">
      <c r="A47" s="941"/>
      <c r="B47" s="941"/>
    </row>
    <row r="48" spans="1:2" x14ac:dyDescent="0.25">
      <c r="A48" s="941"/>
      <c r="B48" s="941"/>
    </row>
    <row r="49" spans="1:5" ht="216.75" customHeight="1" x14ac:dyDescent="0.25">
      <c r="A49" s="938" t="s">
        <v>1412</v>
      </c>
      <c r="B49" s="938"/>
    </row>
    <row r="50" spans="1:5" s="934" customFormat="1" ht="191.25" customHeight="1" x14ac:dyDescent="0.25">
      <c r="A50" s="938" t="s">
        <v>1413</v>
      </c>
      <c r="B50" s="938"/>
    </row>
    <row r="52" spans="1:5" ht="198" customHeight="1" x14ac:dyDescent="0.25">
      <c r="A52" s="938" t="s">
        <v>1083</v>
      </c>
      <c r="B52" s="938"/>
    </row>
    <row r="53" spans="1:5" x14ac:dyDescent="0.25">
      <c r="B53" s="907"/>
    </row>
    <row r="54" spans="1:5" s="905" customFormat="1" ht="211.2" customHeight="1" x14ac:dyDescent="0.25">
      <c r="A54" s="939" t="s">
        <v>1414</v>
      </c>
      <c r="B54" s="939"/>
    </row>
    <row r="55" spans="1:5" x14ac:dyDescent="0.25">
      <c r="B55" s="907"/>
    </row>
    <row r="56" spans="1:5" ht="178.5" customHeight="1" x14ac:dyDescent="0.25">
      <c r="A56" s="938" t="s">
        <v>1271</v>
      </c>
      <c r="B56" s="938"/>
    </row>
    <row r="57" spans="1:5" x14ac:dyDescent="0.25">
      <c r="B57" s="907"/>
    </row>
    <row r="58" spans="1:5" s="905" customFormat="1" ht="92.4" customHeight="1" x14ac:dyDescent="0.25">
      <c r="A58" s="939" t="s">
        <v>1084</v>
      </c>
      <c r="B58" s="939"/>
    </row>
    <row r="59" spans="1:5" s="905" customFormat="1" x14ac:dyDescent="0.25">
      <c r="A59" s="909"/>
      <c r="B59" s="909"/>
    </row>
    <row r="60" spans="1:5" ht="63.75" customHeight="1" x14ac:dyDescent="0.25">
      <c r="A60" s="938" t="s">
        <v>1272</v>
      </c>
      <c r="B60" s="938"/>
      <c r="E60" s="905"/>
    </row>
    <row r="61" spans="1:5" x14ac:dyDescent="0.25">
      <c r="B61" s="907"/>
      <c r="E61" s="905"/>
    </row>
    <row r="62" spans="1:5" ht="66" customHeight="1" x14ac:dyDescent="0.25">
      <c r="A62" s="938" t="s">
        <v>1273</v>
      </c>
      <c r="B62" s="938"/>
      <c r="E62" s="905"/>
    </row>
    <row r="63" spans="1:5" x14ac:dyDescent="0.25">
      <c r="B63" s="907"/>
      <c r="E63" s="905"/>
    </row>
    <row r="64" spans="1:5" ht="52.95" customHeight="1" x14ac:dyDescent="0.25">
      <c r="A64" s="938" t="s">
        <v>1085</v>
      </c>
      <c r="B64" s="938"/>
      <c r="E64" s="905"/>
    </row>
    <row r="65" spans="1:5" x14ac:dyDescent="0.25">
      <c r="B65" s="907"/>
      <c r="E65" s="905"/>
    </row>
    <row r="66" spans="1:5" x14ac:dyDescent="0.25">
      <c r="A66" s="127" t="s">
        <v>1018</v>
      </c>
      <c r="E66" s="905"/>
    </row>
    <row r="67" spans="1:5" x14ac:dyDescent="0.25">
      <c r="A67" s="940" t="s">
        <v>1086</v>
      </c>
      <c r="B67" s="940"/>
    </row>
    <row r="68" spans="1:5" x14ac:dyDescent="0.25">
      <c r="A68" s="904"/>
    </row>
  </sheetData>
  <mergeCells count="22">
    <mergeCell ref="A9:B9"/>
    <mergeCell ref="A67:B67"/>
    <mergeCell ref="A3:B3"/>
    <mergeCell ref="A5:B5"/>
    <mergeCell ref="A7:B7"/>
    <mergeCell ref="A11:B11"/>
    <mergeCell ref="A13:B13"/>
    <mergeCell ref="A15:B15"/>
    <mergeCell ref="A17:B17"/>
    <mergeCell ref="A54:B54"/>
    <mergeCell ref="A49:B49"/>
    <mergeCell ref="A19:B19"/>
    <mergeCell ref="A21:B21"/>
    <mergeCell ref="A23:B23"/>
    <mergeCell ref="A52:B52"/>
    <mergeCell ref="A24:B48"/>
    <mergeCell ref="A50:B50"/>
    <mergeCell ref="A62:B62"/>
    <mergeCell ref="A64:B64"/>
    <mergeCell ref="A56:B56"/>
    <mergeCell ref="A58:B58"/>
    <mergeCell ref="A60:B60"/>
  </mergeCells>
  <phoneticPr fontId="11" type="noConversion"/>
  <pageMargins left="0.74803149606299213" right="0.74803149606299213" top="0.98425196850393704" bottom="0.98425196850393704" header="0.51181102362204722" footer="0.51181102362204722"/>
  <pageSetup paperSize="9" scale="89" firstPageNumber="4" fitToWidth="0" fitToHeight="0" orientation="portrait" useFirstPageNumber="1" r:id="rId1"/>
  <headerFooter alignWithMargins="0">
    <oddFooter>&amp;L&amp;8Chartered Accountants Australia New Zealand&amp;C&amp;9&amp;P&amp;R&amp;8VICTORIAN CITY COUNCIL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zoomScaleSheetLayoutView="100" workbookViewId="0">
      <selection activeCell="A40" sqref="A40"/>
    </sheetView>
  </sheetViews>
  <sheetFormatPr defaultColWidth="8.88671875" defaultRowHeight="13.2" x14ac:dyDescent="0.25"/>
  <cols>
    <col min="1" max="1" width="12" style="287" customWidth="1"/>
    <col min="2" max="2" width="9.109375" style="68" customWidth="1"/>
    <col min="3" max="5" width="12" style="56" customWidth="1"/>
    <col min="6" max="6" width="39.33203125" style="56" customWidth="1"/>
    <col min="7" max="7" width="10.5546875" style="287" customWidth="1"/>
    <col min="8" max="8" width="10" style="287" customWidth="1"/>
    <col min="9" max="16384" width="8.88671875" style="287"/>
  </cols>
  <sheetData>
    <row r="1" spans="1:6" ht="16.8" x14ac:dyDescent="0.25">
      <c r="A1" s="331" t="s">
        <v>875</v>
      </c>
      <c r="B1" s="54"/>
      <c r="C1" s="54"/>
    </row>
    <row r="2" spans="1:6" s="63" customFormat="1" ht="12.75" customHeight="1" x14ac:dyDescent="0.25">
      <c r="A2" s="272"/>
      <c r="B2" s="83"/>
      <c r="C2" s="83"/>
      <c r="D2" s="340"/>
      <c r="E2" s="340"/>
      <c r="F2" s="340"/>
    </row>
    <row r="3" spans="1:6" s="63" customFormat="1" ht="27" customHeight="1" x14ac:dyDescent="0.25">
      <c r="A3" s="943" t="s">
        <v>1336</v>
      </c>
      <c r="B3" s="942"/>
      <c r="C3" s="942"/>
      <c r="D3" s="942"/>
      <c r="E3" s="942"/>
      <c r="F3" s="942"/>
    </row>
    <row r="4" spans="1:6" s="63" customFormat="1" ht="12.75" customHeight="1" x14ac:dyDescent="0.25">
      <c r="A4" s="272"/>
      <c r="B4" s="83"/>
      <c r="C4" s="83"/>
      <c r="D4" s="340"/>
      <c r="E4" s="340"/>
      <c r="F4" s="340"/>
    </row>
    <row r="5" spans="1:6" s="63" customFormat="1" ht="35.25" customHeight="1" x14ac:dyDescent="0.25">
      <c r="A5" s="944" t="s">
        <v>878</v>
      </c>
      <c r="B5" s="942"/>
      <c r="C5" s="942"/>
      <c r="D5" s="942"/>
      <c r="E5" s="942"/>
      <c r="F5" s="942"/>
    </row>
    <row r="6" spans="1:6" s="63" customFormat="1" x14ac:dyDescent="0.25">
      <c r="A6" s="942" t="s">
        <v>876</v>
      </c>
      <c r="B6" s="942"/>
      <c r="C6" s="942"/>
      <c r="D6" s="942"/>
      <c r="E6" s="942"/>
      <c r="F6" s="942"/>
    </row>
    <row r="7" spans="1:6" s="63" customFormat="1" x14ac:dyDescent="0.25">
      <c r="A7" s="942" t="s">
        <v>877</v>
      </c>
      <c r="B7" s="942"/>
      <c r="C7" s="942"/>
      <c r="D7" s="942"/>
      <c r="E7" s="942"/>
      <c r="F7" s="942"/>
    </row>
    <row r="8" spans="1:6" s="63" customFormat="1" x14ac:dyDescent="0.25">
      <c r="A8" s="942" t="s">
        <v>1337</v>
      </c>
      <c r="B8" s="942"/>
      <c r="C8" s="942"/>
      <c r="D8" s="942"/>
      <c r="E8" s="942"/>
      <c r="F8" s="942"/>
    </row>
    <row r="9" spans="1:6" s="63" customFormat="1" x14ac:dyDescent="0.25">
      <c r="A9" s="942" t="s">
        <v>879</v>
      </c>
      <c r="B9" s="942"/>
      <c r="C9" s="942"/>
      <c r="D9" s="942"/>
      <c r="E9" s="942"/>
      <c r="F9" s="942"/>
    </row>
    <row r="10" spans="1:6" s="63" customFormat="1" x14ac:dyDescent="0.25">
      <c r="A10" s="942" t="s">
        <v>1338</v>
      </c>
      <c r="B10" s="942"/>
      <c r="C10" s="942"/>
      <c r="D10" s="942"/>
      <c r="E10" s="942"/>
      <c r="F10" s="942"/>
    </row>
    <row r="11" spans="1:6" s="63" customFormat="1" ht="12.75" customHeight="1" x14ac:dyDescent="0.25">
      <c r="A11" s="942" t="s">
        <v>881</v>
      </c>
      <c r="B11" s="942"/>
      <c r="C11" s="942"/>
      <c r="D11" s="942"/>
      <c r="E11" s="942"/>
      <c r="F11" s="942"/>
    </row>
    <row r="12" spans="1:6" s="63" customFormat="1" ht="12.75" customHeight="1" x14ac:dyDescent="0.25">
      <c r="A12" s="942" t="s">
        <v>880</v>
      </c>
      <c r="B12" s="942"/>
      <c r="C12" s="942"/>
      <c r="D12" s="942"/>
      <c r="E12" s="942"/>
      <c r="F12" s="942"/>
    </row>
    <row r="13" spans="1:6" x14ac:dyDescent="0.25">
      <c r="A13" s="54"/>
    </row>
    <row r="14" spans="1:6" x14ac:dyDescent="0.25">
      <c r="A14" s="54"/>
    </row>
    <row r="15" spans="1:6" x14ac:dyDescent="0.25">
      <c r="A15" s="54"/>
    </row>
    <row r="16" spans="1:6" x14ac:dyDescent="0.25">
      <c r="A16" s="54"/>
    </row>
    <row r="17" spans="1:1" x14ac:dyDescent="0.25">
      <c r="A17" s="54"/>
    </row>
    <row r="18" spans="1:1" x14ac:dyDescent="0.25">
      <c r="A18" s="54"/>
    </row>
  </sheetData>
  <mergeCells count="9">
    <mergeCell ref="A11:F11"/>
    <mergeCell ref="A12:F12"/>
    <mergeCell ref="A9:F9"/>
    <mergeCell ref="A10:F10"/>
    <mergeCell ref="A3:F3"/>
    <mergeCell ref="A6:F6"/>
    <mergeCell ref="A5:F5"/>
    <mergeCell ref="A7:F7"/>
    <mergeCell ref="A8:F8"/>
  </mergeCells>
  <phoneticPr fontId="11" type="noConversion"/>
  <pageMargins left="0.74803149606299213" right="0.74803149606299213" top="0.98425196850393704" bottom="0.98425196850393704" header="0.51181102362204722" footer="0.51181102362204722"/>
  <pageSetup paperSize="9" scale="89" firstPageNumber="8" orientation="portrait" useFirstPageNumber="1" r:id="rId1"/>
  <headerFooter alignWithMargins="0">
    <oddFooter>&amp;L&amp;8Chartered Accountants Australia New Zealand&amp;C&amp;9&amp;P&amp;R&amp;8VICTORIAN CITY COUNCIL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view="pageBreakPreview" zoomScaleNormal="100" zoomScaleSheetLayoutView="100" zoomScalePageLayoutView="70" workbookViewId="0">
      <selection activeCell="A40" sqref="A40"/>
    </sheetView>
  </sheetViews>
  <sheetFormatPr defaultColWidth="8.88671875" defaultRowHeight="13.2" x14ac:dyDescent="0.25"/>
  <cols>
    <col min="1" max="1" width="9.109375" style="339" customWidth="1"/>
    <col min="2" max="2" width="16.6640625" style="292" customWidth="1"/>
    <col min="3" max="3" width="71.33203125" style="292" customWidth="1"/>
    <col min="4" max="17" width="8.88671875" style="292"/>
    <col min="18" max="18" width="9.44140625" style="292" customWidth="1"/>
    <col min="19" max="16384" width="8.88671875" style="292"/>
  </cols>
  <sheetData>
    <row r="1" spans="1:3" ht="17.399999999999999" x14ac:dyDescent="0.25">
      <c r="A1" s="955" t="s">
        <v>992</v>
      </c>
      <c r="B1" s="334" t="s">
        <v>815</v>
      </c>
      <c r="C1" s="332"/>
    </row>
    <row r="2" spans="1:3" ht="13.8" x14ac:dyDescent="0.25">
      <c r="A2" s="955"/>
      <c r="B2" s="333"/>
      <c r="C2" s="332"/>
    </row>
    <row r="3" spans="1:3" ht="51" customHeight="1" x14ac:dyDescent="0.25">
      <c r="A3" s="955"/>
      <c r="B3" s="938" t="s">
        <v>737</v>
      </c>
      <c r="C3" s="938"/>
    </row>
    <row r="4" spans="1:3" ht="13.8" x14ac:dyDescent="0.25">
      <c r="A4" s="955"/>
      <c r="B4" s="912"/>
      <c r="C4" s="902"/>
    </row>
    <row r="5" spans="1:3" ht="39.6" x14ac:dyDescent="0.25">
      <c r="A5" s="955"/>
      <c r="B5" s="903" t="s">
        <v>739</v>
      </c>
      <c r="C5" s="902"/>
    </row>
    <row r="6" spans="1:3" ht="79.2" customHeight="1" x14ac:dyDescent="0.25">
      <c r="A6" s="955"/>
      <c r="B6" s="949" t="s">
        <v>738</v>
      </c>
      <c r="C6" s="949"/>
    </row>
    <row r="7" spans="1:3" ht="12.75" customHeight="1" x14ac:dyDescent="0.25">
      <c r="A7" s="955"/>
      <c r="B7" s="333"/>
      <c r="C7" s="332"/>
    </row>
    <row r="8" spans="1:3" ht="262.5" customHeight="1" x14ac:dyDescent="0.25">
      <c r="A8" s="955"/>
      <c r="B8" s="953" t="s">
        <v>1087</v>
      </c>
      <c r="C8" s="954"/>
    </row>
    <row r="9" spans="1:3" x14ac:dyDescent="0.25">
      <c r="A9" s="955"/>
      <c r="B9" s="748"/>
      <c r="C9" s="749"/>
    </row>
    <row r="10" spans="1:3" ht="89.25" customHeight="1" x14ac:dyDescent="0.25">
      <c r="A10" s="955"/>
      <c r="B10" s="950" t="s">
        <v>471</v>
      </c>
      <c r="C10" s="951"/>
    </row>
    <row r="11" spans="1:3" ht="13.8" x14ac:dyDescent="0.25">
      <c r="A11" s="956"/>
      <c r="B11" s="333"/>
      <c r="C11" s="332"/>
    </row>
    <row r="12" spans="1:3" ht="13.8" x14ac:dyDescent="0.25">
      <c r="A12" s="955"/>
      <c r="B12" s="335" t="s">
        <v>65</v>
      </c>
      <c r="C12" s="332"/>
    </row>
    <row r="13" spans="1:3" x14ac:dyDescent="0.25">
      <c r="A13" s="955"/>
      <c r="B13" s="952" t="s">
        <v>119</v>
      </c>
      <c r="C13" s="952"/>
    </row>
    <row r="14" spans="1:3" ht="52.95" customHeight="1" x14ac:dyDescent="0.25">
      <c r="A14" s="955"/>
      <c r="B14" s="945" t="s">
        <v>120</v>
      </c>
      <c r="C14" s="945"/>
    </row>
    <row r="15" spans="1:3" ht="8.25" customHeight="1" x14ac:dyDescent="0.25">
      <c r="A15" s="955"/>
      <c r="B15" s="49"/>
      <c r="C15" s="902"/>
    </row>
    <row r="16" spans="1:3" x14ac:dyDescent="0.25">
      <c r="A16" s="955"/>
      <c r="B16" s="903" t="s">
        <v>121</v>
      </c>
      <c r="C16" s="902"/>
    </row>
    <row r="17" spans="1:3" x14ac:dyDescent="0.25">
      <c r="A17" s="955"/>
      <c r="B17" s="946" t="s">
        <v>122</v>
      </c>
      <c r="C17" s="946"/>
    </row>
    <row r="18" spans="1:3" x14ac:dyDescent="0.25">
      <c r="A18" s="955"/>
      <c r="B18" s="947" t="s">
        <v>123</v>
      </c>
      <c r="C18" s="948"/>
    </row>
    <row r="19" spans="1:3" x14ac:dyDescent="0.25">
      <c r="A19" s="955"/>
      <c r="B19" s="947" t="s">
        <v>124</v>
      </c>
      <c r="C19" s="948"/>
    </row>
    <row r="20" spans="1:3" x14ac:dyDescent="0.25">
      <c r="A20" s="955"/>
      <c r="B20" s="947" t="s">
        <v>125</v>
      </c>
      <c r="C20" s="948"/>
    </row>
    <row r="21" spans="1:3" x14ac:dyDescent="0.25">
      <c r="A21" s="956"/>
      <c r="B21" s="947" t="s">
        <v>126</v>
      </c>
      <c r="C21" s="948"/>
    </row>
    <row r="22" spans="1:3" x14ac:dyDescent="0.25">
      <c r="A22" s="955"/>
      <c r="B22" s="947" t="s">
        <v>176</v>
      </c>
      <c r="C22" s="948"/>
    </row>
    <row r="23" spans="1:3" x14ac:dyDescent="0.25">
      <c r="A23" s="955"/>
      <c r="B23" s="49"/>
      <c r="C23" s="902"/>
    </row>
    <row r="24" spans="1:3" ht="26.4" customHeight="1" x14ac:dyDescent="0.25">
      <c r="A24" s="955"/>
      <c r="B24" s="945" t="s">
        <v>127</v>
      </c>
      <c r="C24" s="958"/>
    </row>
    <row r="25" spans="1:3" ht="12.75" customHeight="1" x14ac:dyDescent="0.25">
      <c r="A25" s="955"/>
      <c r="B25" s="923"/>
      <c r="C25" s="902"/>
    </row>
    <row r="26" spans="1:3" x14ac:dyDescent="0.25">
      <c r="A26" s="955"/>
      <c r="B26" s="903" t="s">
        <v>128</v>
      </c>
      <c r="C26" s="902"/>
    </row>
    <row r="27" spans="1:3" ht="52.95" customHeight="1" x14ac:dyDescent="0.25">
      <c r="A27" s="955"/>
      <c r="B27" s="945" t="s">
        <v>338</v>
      </c>
      <c r="C27" s="958"/>
    </row>
    <row r="28" spans="1:3" x14ac:dyDescent="0.25">
      <c r="A28" s="955"/>
      <c r="B28" s="947" t="s">
        <v>129</v>
      </c>
      <c r="C28" s="948"/>
    </row>
    <row r="29" spans="1:3" x14ac:dyDescent="0.25">
      <c r="A29" s="955"/>
      <c r="B29" s="947" t="s">
        <v>130</v>
      </c>
      <c r="C29" s="948"/>
    </row>
    <row r="30" spans="1:3" x14ac:dyDescent="0.25">
      <c r="A30" s="955"/>
      <c r="B30" s="947" t="s">
        <v>131</v>
      </c>
      <c r="C30" s="948"/>
    </row>
    <row r="31" spans="1:3" ht="25.5" customHeight="1" x14ac:dyDescent="0.25">
      <c r="A31" s="955"/>
      <c r="B31" s="959" t="s">
        <v>1088</v>
      </c>
      <c r="C31" s="948"/>
    </row>
    <row r="32" spans="1:3" x14ac:dyDescent="0.25">
      <c r="A32" s="955"/>
      <c r="B32" s="947" t="s">
        <v>132</v>
      </c>
      <c r="C32" s="948"/>
    </row>
    <row r="33" spans="1:3" x14ac:dyDescent="0.25">
      <c r="A33" s="955"/>
      <c r="B33" s="947" t="s">
        <v>325</v>
      </c>
      <c r="C33" s="948"/>
    </row>
    <row r="34" spans="1:3" x14ac:dyDescent="0.25">
      <c r="A34" s="955"/>
      <c r="B34" s="947" t="s">
        <v>326</v>
      </c>
      <c r="C34" s="948"/>
    </row>
    <row r="35" spans="1:3" x14ac:dyDescent="0.25">
      <c r="A35" s="955"/>
      <c r="B35" s="947" t="s">
        <v>339</v>
      </c>
      <c r="C35" s="948"/>
    </row>
    <row r="36" spans="1:3" x14ac:dyDescent="0.25">
      <c r="A36" s="955"/>
      <c r="B36" s="49"/>
      <c r="C36" s="902"/>
    </row>
    <row r="37" spans="1:3" x14ac:dyDescent="0.25">
      <c r="A37" s="955"/>
      <c r="B37" s="957" t="s">
        <v>64</v>
      </c>
      <c r="C37" s="948"/>
    </row>
    <row r="38" spans="1:3" ht="39.75" customHeight="1" x14ac:dyDescent="0.25">
      <c r="A38" s="955"/>
      <c r="B38" s="949" t="s">
        <v>1089</v>
      </c>
      <c r="C38" s="958"/>
    </row>
    <row r="39" spans="1:3" ht="24.75" customHeight="1" x14ac:dyDescent="0.25">
      <c r="A39" s="955"/>
      <c r="B39" s="342" t="s">
        <v>327</v>
      </c>
      <c r="C39" s="343" t="s">
        <v>328</v>
      </c>
    </row>
    <row r="40" spans="1:3" ht="38.25" customHeight="1" x14ac:dyDescent="0.25">
      <c r="A40" s="955"/>
      <c r="B40" s="337" t="s">
        <v>350</v>
      </c>
      <c r="C40" s="924" t="s">
        <v>112</v>
      </c>
    </row>
    <row r="41" spans="1:3" ht="38.25" customHeight="1" x14ac:dyDescent="0.25">
      <c r="A41" s="955"/>
      <c r="B41" s="337" t="s">
        <v>347</v>
      </c>
      <c r="C41" s="925" t="s">
        <v>113</v>
      </c>
    </row>
    <row r="42" spans="1:3" ht="38.25" customHeight="1" x14ac:dyDescent="0.25">
      <c r="A42" s="955"/>
      <c r="B42" s="337" t="s">
        <v>348</v>
      </c>
      <c r="C42" s="925" t="s">
        <v>114</v>
      </c>
    </row>
    <row r="43" spans="1:3" ht="38.25" customHeight="1" x14ac:dyDescent="0.25">
      <c r="A43" s="955"/>
      <c r="B43" s="337" t="s">
        <v>349</v>
      </c>
      <c r="C43" s="925" t="s">
        <v>115</v>
      </c>
    </row>
    <row r="44" spans="1:3" ht="25.5" customHeight="1" x14ac:dyDescent="0.25">
      <c r="A44" s="955"/>
      <c r="B44" s="337" t="s">
        <v>116</v>
      </c>
      <c r="C44" s="925" t="s">
        <v>345</v>
      </c>
    </row>
    <row r="45" spans="1:3" ht="38.25" customHeight="1" x14ac:dyDescent="0.25">
      <c r="A45" s="955"/>
      <c r="B45" s="338" t="s">
        <v>1339</v>
      </c>
      <c r="C45" s="925" t="s">
        <v>346</v>
      </c>
    </row>
    <row r="48" spans="1:3" ht="382.5" customHeight="1" x14ac:dyDescent="0.25"/>
  </sheetData>
  <mergeCells count="25">
    <mergeCell ref="A1:A45"/>
    <mergeCell ref="B35:C35"/>
    <mergeCell ref="B37:C37"/>
    <mergeCell ref="B38:C38"/>
    <mergeCell ref="B31:C31"/>
    <mergeCell ref="B32:C32"/>
    <mergeCell ref="B33:C33"/>
    <mergeCell ref="B34:C34"/>
    <mergeCell ref="B27:C27"/>
    <mergeCell ref="B28:C28"/>
    <mergeCell ref="B29:C29"/>
    <mergeCell ref="B30:C30"/>
    <mergeCell ref="B20:C20"/>
    <mergeCell ref="B21:C21"/>
    <mergeCell ref="B22:C22"/>
    <mergeCell ref="B24:C24"/>
    <mergeCell ref="B14:C14"/>
    <mergeCell ref="B17:C17"/>
    <mergeCell ref="B18:C18"/>
    <mergeCell ref="B19:C19"/>
    <mergeCell ref="B3:C3"/>
    <mergeCell ref="B6:C6"/>
    <mergeCell ref="B10:C10"/>
    <mergeCell ref="B13:C13"/>
    <mergeCell ref="B8:C8"/>
  </mergeCells>
  <phoneticPr fontId="11" type="noConversion"/>
  <pageMargins left="0.74803149606299213" right="0.74803149606299213" top="0.98425196850393704" bottom="0.98425196850393704" header="0.51181102362204722" footer="0.51181102362204722"/>
  <pageSetup paperSize="9" firstPageNumber="9" orientation="portrait" useFirstPageNumber="1" r:id="rId1"/>
  <headerFooter alignWithMargins="0">
    <oddFooter>&amp;L&amp;8Chartered Accountants Australia New Zealand&amp;C&amp;9&amp;P&amp;R&amp;8VICTORIAN CITY COUNCIL</oddFooter>
  </headerFooter>
  <rowBreaks count="1" manualBreakCount="1">
    <brk id="11" min="1" max="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4"/>
  <sheetViews>
    <sheetView view="pageBreakPreview" topLeftCell="A239" zoomScaleNormal="100" zoomScaleSheetLayoutView="100" workbookViewId="0">
      <selection activeCell="A40" sqref="A40"/>
    </sheetView>
  </sheetViews>
  <sheetFormatPr defaultColWidth="9.109375" defaultRowHeight="13.2" x14ac:dyDescent="0.25"/>
  <cols>
    <col min="1" max="1" width="10" style="222" customWidth="1"/>
    <col min="2" max="2" width="15.44140625" style="222" customWidth="1"/>
    <col min="3" max="5" width="15.109375" style="222" customWidth="1"/>
    <col min="6" max="6" width="15" style="222" customWidth="1"/>
    <col min="7" max="7" width="12.33203125" style="222" customWidth="1"/>
    <col min="8" max="16384" width="9.109375" style="222"/>
  </cols>
  <sheetData>
    <row r="1" spans="1:7" ht="17.399999999999999" x14ac:dyDescent="0.3">
      <c r="A1" s="220" t="s">
        <v>816</v>
      </c>
      <c r="B1" s="344" t="s">
        <v>844</v>
      </c>
      <c r="C1" s="221"/>
      <c r="D1" s="221"/>
      <c r="E1" s="221"/>
      <c r="F1" s="221"/>
      <c r="G1" s="221"/>
    </row>
    <row r="2" spans="1:7" ht="12.75" customHeight="1" x14ac:dyDescent="0.25">
      <c r="A2" s="225"/>
      <c r="B2" s="223"/>
      <c r="C2" s="221"/>
      <c r="D2" s="221"/>
      <c r="E2" s="221"/>
      <c r="F2" s="221"/>
      <c r="G2" s="221"/>
    </row>
    <row r="3" spans="1:7" ht="92.4" customHeight="1" x14ac:dyDescent="0.25">
      <c r="A3" s="225"/>
      <c r="B3" s="983" t="s">
        <v>1090</v>
      </c>
      <c r="C3" s="983"/>
      <c r="D3" s="983"/>
      <c r="E3" s="983"/>
      <c r="F3" s="983"/>
      <c r="G3" s="983"/>
    </row>
    <row r="4" spans="1:7" ht="12.75" customHeight="1" x14ac:dyDescent="0.25">
      <c r="A4" s="225"/>
      <c r="B4" s="224"/>
      <c r="C4" s="221"/>
      <c r="D4" s="221"/>
      <c r="E4" s="221"/>
      <c r="F4" s="221"/>
      <c r="G4" s="221"/>
    </row>
    <row r="5" spans="1:7" ht="234" customHeight="1" x14ac:dyDescent="0.25">
      <c r="A5" s="261" t="s">
        <v>993</v>
      </c>
      <c r="B5" s="990" t="s">
        <v>1087</v>
      </c>
      <c r="C5" s="991"/>
      <c r="D5" s="991"/>
      <c r="E5" s="991"/>
      <c r="F5" s="991"/>
      <c r="G5" s="991"/>
    </row>
    <row r="6" spans="1:7" x14ac:dyDescent="0.25">
      <c r="A6" s="261"/>
      <c r="B6" s="284"/>
      <c r="C6" s="283"/>
      <c r="D6" s="283"/>
      <c r="E6" s="283"/>
      <c r="F6" s="283"/>
      <c r="G6" s="283"/>
    </row>
    <row r="7" spans="1:7" ht="26.4" customHeight="1" x14ac:dyDescent="0.25">
      <c r="A7" s="225"/>
      <c r="B7" s="992" t="s">
        <v>740</v>
      </c>
      <c r="C7" s="993"/>
      <c r="D7" s="993"/>
      <c r="E7" s="993"/>
      <c r="F7" s="993"/>
      <c r="G7" s="993"/>
    </row>
    <row r="8" spans="1:7" ht="20.25" customHeight="1" x14ac:dyDescent="0.25">
      <c r="A8" s="225"/>
      <c r="B8" s="224"/>
      <c r="C8" s="226"/>
      <c r="D8" s="226"/>
      <c r="E8" s="226"/>
      <c r="F8" s="226"/>
      <c r="G8" s="226"/>
    </row>
    <row r="9" spans="1:7" ht="15" customHeight="1" x14ac:dyDescent="0.25">
      <c r="A9" s="225"/>
      <c r="B9" s="994" t="s">
        <v>66</v>
      </c>
      <c r="C9" s="992"/>
      <c r="D9" s="992"/>
      <c r="E9" s="992"/>
      <c r="F9" s="992"/>
      <c r="G9" s="992"/>
    </row>
    <row r="10" spans="1:7" ht="38.25" customHeight="1" x14ac:dyDescent="0.25">
      <c r="A10" s="228" t="s">
        <v>817</v>
      </c>
      <c r="B10" s="995" t="s">
        <v>494</v>
      </c>
      <c r="C10" s="995"/>
      <c r="D10" s="995"/>
      <c r="E10" s="995"/>
      <c r="F10" s="995"/>
      <c r="G10" s="995"/>
    </row>
    <row r="11" spans="1:7" x14ac:dyDescent="0.25">
      <c r="A11" s="896"/>
      <c r="B11" s="227"/>
      <c r="C11" s="221"/>
      <c r="D11" s="221"/>
      <c r="E11" s="221"/>
      <c r="F11" s="221"/>
      <c r="G11" s="221"/>
    </row>
    <row r="12" spans="1:7" x14ac:dyDescent="0.25">
      <c r="A12" s="225"/>
      <c r="B12" s="229" t="s">
        <v>477</v>
      </c>
      <c r="C12" s="221"/>
      <c r="D12" s="221"/>
      <c r="E12" s="221"/>
      <c r="F12" s="221"/>
      <c r="G12" s="221"/>
    </row>
    <row r="13" spans="1:7" ht="12.75" customHeight="1" x14ac:dyDescent="0.25">
      <c r="A13" s="997" t="s">
        <v>818</v>
      </c>
      <c r="B13" s="348"/>
      <c r="C13" s="348"/>
      <c r="D13" s="348"/>
      <c r="E13" s="348"/>
      <c r="F13" s="348"/>
      <c r="G13" s="349" t="s">
        <v>351</v>
      </c>
    </row>
    <row r="14" spans="1:7" x14ac:dyDescent="0.25">
      <c r="A14" s="997"/>
      <c r="B14" s="348" t="s">
        <v>729</v>
      </c>
      <c r="C14" s="964" t="s">
        <v>508</v>
      </c>
      <c r="D14" s="964"/>
      <c r="E14" s="964"/>
      <c r="F14" s="964"/>
      <c r="G14" s="350" t="s">
        <v>336</v>
      </c>
    </row>
    <row r="15" spans="1:7" x14ac:dyDescent="0.25">
      <c r="A15" s="997"/>
      <c r="B15" s="348"/>
      <c r="C15" s="348"/>
      <c r="D15" s="348"/>
      <c r="E15" s="348"/>
      <c r="F15" s="348"/>
      <c r="G15" s="351" t="s">
        <v>352</v>
      </c>
    </row>
    <row r="16" spans="1:7" x14ac:dyDescent="0.25">
      <c r="A16" s="997"/>
      <c r="B16" s="352"/>
      <c r="C16" s="352"/>
      <c r="D16" s="352"/>
      <c r="E16" s="352"/>
      <c r="F16" s="352"/>
      <c r="G16" s="351" t="s">
        <v>353</v>
      </c>
    </row>
    <row r="17" spans="1:12" ht="12.75" customHeight="1" x14ac:dyDescent="0.25">
      <c r="A17" s="997"/>
      <c r="B17" s="999" t="s">
        <v>354</v>
      </c>
      <c r="C17" s="1002" t="s">
        <v>495</v>
      </c>
      <c r="D17" s="1002"/>
      <c r="E17" s="1002"/>
      <c r="F17" s="1002"/>
      <c r="G17" s="345">
        <v>2006</v>
      </c>
    </row>
    <row r="18" spans="1:12" x14ac:dyDescent="0.25">
      <c r="A18" s="997"/>
      <c r="B18" s="1000"/>
      <c r="C18" s="1003"/>
      <c r="D18" s="1003"/>
      <c r="E18" s="1003"/>
      <c r="F18" s="1003"/>
      <c r="G18" s="346">
        <v>0</v>
      </c>
    </row>
    <row r="19" spans="1:12" ht="26.25" customHeight="1" x14ac:dyDescent="0.25">
      <c r="A19" s="997"/>
      <c r="B19" s="1001"/>
      <c r="C19" s="1004"/>
      <c r="D19" s="1004"/>
      <c r="E19" s="1004"/>
      <c r="F19" s="1004"/>
      <c r="G19" s="347">
        <f>SUM(G17:G18)</f>
        <v>2006</v>
      </c>
    </row>
    <row r="20" spans="1:12" ht="12.75" customHeight="1" x14ac:dyDescent="0.25">
      <c r="A20" s="997"/>
      <c r="B20" s="999" t="s">
        <v>989</v>
      </c>
      <c r="C20" s="1002" t="s">
        <v>355</v>
      </c>
      <c r="D20" s="1002"/>
      <c r="E20" s="1002"/>
      <c r="F20" s="1002"/>
      <c r="G20" s="345">
        <v>1546</v>
      </c>
      <c r="L20" s="222" t="s">
        <v>76</v>
      </c>
    </row>
    <row r="21" spans="1:12" x14ac:dyDescent="0.25">
      <c r="A21" s="998"/>
      <c r="B21" s="1000"/>
      <c r="C21" s="1003"/>
      <c r="D21" s="1003"/>
      <c r="E21" s="1003"/>
      <c r="F21" s="1003"/>
      <c r="G21" s="346">
        <v>-250</v>
      </c>
    </row>
    <row r="22" spans="1:12" ht="39.6" customHeight="1" x14ac:dyDescent="0.25">
      <c r="A22" s="997"/>
      <c r="B22" s="1001"/>
      <c r="C22" s="1004"/>
      <c r="D22" s="1004"/>
      <c r="E22" s="1004"/>
      <c r="F22" s="1004"/>
      <c r="G22" s="347">
        <f>SUM(G20:G21)</f>
        <v>1296</v>
      </c>
    </row>
    <row r="23" spans="1:12" x14ac:dyDescent="0.25">
      <c r="A23" s="1005" t="s">
        <v>819</v>
      </c>
      <c r="B23" s="336" t="s">
        <v>472</v>
      </c>
      <c r="C23" s="332"/>
      <c r="D23" s="332"/>
      <c r="E23" s="332"/>
      <c r="F23" s="332"/>
      <c r="G23" s="332"/>
    </row>
    <row r="24" spans="1:12" x14ac:dyDescent="0.25">
      <c r="A24" s="1005"/>
      <c r="B24" s="949" t="s">
        <v>741</v>
      </c>
      <c r="C24" s="949"/>
      <c r="D24" s="949"/>
      <c r="E24" s="949"/>
      <c r="F24" s="949"/>
      <c r="G24" s="949"/>
    </row>
    <row r="25" spans="1:12" x14ac:dyDescent="0.25">
      <c r="A25" s="1005"/>
      <c r="B25" s="949"/>
      <c r="C25" s="949"/>
      <c r="D25" s="949"/>
      <c r="E25" s="949"/>
      <c r="F25" s="949"/>
      <c r="G25" s="949"/>
    </row>
    <row r="26" spans="1:12" x14ac:dyDescent="0.25">
      <c r="A26" s="1005"/>
      <c r="B26" s="901"/>
      <c r="C26" s="901"/>
      <c r="D26" s="901"/>
      <c r="E26" s="901"/>
      <c r="F26" s="901"/>
      <c r="G26" s="901"/>
    </row>
    <row r="27" spans="1:12" x14ac:dyDescent="0.25">
      <c r="A27" s="1005" t="s">
        <v>818</v>
      </c>
      <c r="B27" s="903" t="s">
        <v>356</v>
      </c>
      <c r="C27" s="902"/>
      <c r="D27" s="902"/>
      <c r="E27" s="902"/>
      <c r="F27" s="902"/>
      <c r="G27" s="902"/>
    </row>
    <row r="28" spans="1:12" ht="52.95" customHeight="1" x14ac:dyDescent="0.25">
      <c r="A28" s="1005"/>
      <c r="B28" s="949" t="s">
        <v>742</v>
      </c>
      <c r="C28" s="949"/>
      <c r="D28" s="949"/>
      <c r="E28" s="949"/>
      <c r="F28" s="949"/>
      <c r="G28" s="949"/>
    </row>
    <row r="29" spans="1:12" ht="26.4" customHeight="1" x14ac:dyDescent="0.25">
      <c r="A29" s="1005"/>
      <c r="B29" s="949" t="s">
        <v>743</v>
      </c>
      <c r="C29" s="958"/>
      <c r="D29" s="958"/>
      <c r="E29" s="958"/>
      <c r="F29" s="958"/>
      <c r="G29" s="958"/>
    </row>
    <row r="30" spans="1:12" x14ac:dyDescent="0.25">
      <c r="A30" s="1005"/>
      <c r="B30" s="926"/>
      <c r="C30" s="927"/>
      <c r="D30" s="927"/>
      <c r="E30" s="927"/>
      <c r="F30" s="927"/>
      <c r="G30" s="927"/>
    </row>
    <row r="31" spans="1:12" x14ac:dyDescent="0.25">
      <c r="A31" s="965" t="s">
        <v>820</v>
      </c>
      <c r="B31" s="967" t="s">
        <v>497</v>
      </c>
      <c r="C31" s="967"/>
      <c r="D31" s="967"/>
      <c r="E31" s="967"/>
      <c r="F31" s="967"/>
      <c r="G31" s="967"/>
    </row>
    <row r="32" spans="1:12" x14ac:dyDescent="0.25">
      <c r="A32" s="965"/>
      <c r="B32" s="968" t="s">
        <v>744</v>
      </c>
      <c r="C32" s="968"/>
      <c r="D32" s="968"/>
      <c r="E32" s="968"/>
      <c r="F32" s="968"/>
      <c r="G32" s="968"/>
    </row>
    <row r="33" spans="1:7" ht="26.4" customHeight="1" thickBot="1" x14ac:dyDescent="0.3">
      <c r="A33" s="965"/>
      <c r="B33" s="353" t="s">
        <v>337</v>
      </c>
      <c r="C33" s="353" t="s">
        <v>424</v>
      </c>
      <c r="D33" s="969" t="s">
        <v>357</v>
      </c>
      <c r="E33" s="969"/>
      <c r="F33" s="969" t="s">
        <v>473</v>
      </c>
      <c r="G33" s="969"/>
    </row>
    <row r="34" spans="1:7" ht="78.75" customHeight="1" thickBot="1" x14ac:dyDescent="0.3">
      <c r="A34" s="965"/>
      <c r="B34" s="244" t="s">
        <v>474</v>
      </c>
      <c r="C34" s="244" t="s">
        <v>475</v>
      </c>
      <c r="D34" s="970" t="s">
        <v>496</v>
      </c>
      <c r="E34" s="970"/>
      <c r="F34" s="970" t="s">
        <v>476</v>
      </c>
      <c r="G34" s="970"/>
    </row>
    <row r="35" spans="1:7" x14ac:dyDescent="0.25">
      <c r="A35" s="246"/>
      <c r="B35" s="242"/>
      <c r="C35" s="242"/>
      <c r="D35" s="242"/>
      <c r="E35" s="247"/>
      <c r="F35" s="242"/>
      <c r="G35" s="243"/>
    </row>
    <row r="36" spans="1:7" x14ac:dyDescent="0.25">
      <c r="A36" s="965" t="s">
        <v>817</v>
      </c>
      <c r="B36" s="994" t="s">
        <v>67</v>
      </c>
      <c r="C36" s="992"/>
      <c r="D36" s="992"/>
      <c r="E36" s="992"/>
      <c r="F36" s="992"/>
      <c r="G36" s="992"/>
    </row>
    <row r="37" spans="1:7" ht="39.6" customHeight="1" x14ac:dyDescent="0.25">
      <c r="A37" s="965"/>
      <c r="B37" s="995" t="s">
        <v>498</v>
      </c>
      <c r="C37" s="996"/>
      <c r="D37" s="996"/>
      <c r="E37" s="996"/>
      <c r="F37" s="996"/>
      <c r="G37" s="996"/>
    </row>
    <row r="38" spans="1:7" x14ac:dyDescent="0.25">
      <c r="A38" s="225"/>
      <c r="B38" s="227"/>
      <c r="C38" s="221"/>
      <c r="D38" s="221"/>
      <c r="E38" s="221"/>
      <c r="F38" s="221"/>
      <c r="G38" s="221"/>
    </row>
    <row r="39" spans="1:7" ht="12.75" customHeight="1" x14ac:dyDescent="0.25">
      <c r="A39" s="965" t="s">
        <v>818</v>
      </c>
      <c r="B39" s="229" t="s">
        <v>477</v>
      </c>
      <c r="C39" s="221"/>
      <c r="D39" s="221"/>
      <c r="E39" s="221"/>
      <c r="F39" s="221"/>
      <c r="G39" s="221"/>
    </row>
    <row r="40" spans="1:7" ht="12.75" customHeight="1" x14ac:dyDescent="0.25">
      <c r="A40" s="965"/>
      <c r="B40" s="348"/>
      <c r="C40" s="348"/>
      <c r="D40" s="348"/>
      <c r="E40" s="348"/>
      <c r="F40" s="348"/>
      <c r="G40" s="349" t="s">
        <v>351</v>
      </c>
    </row>
    <row r="41" spans="1:7" x14ac:dyDescent="0.25">
      <c r="A41" s="965"/>
      <c r="B41" s="348" t="s">
        <v>729</v>
      </c>
      <c r="C41" s="964" t="s">
        <v>508</v>
      </c>
      <c r="D41" s="964"/>
      <c r="E41" s="964"/>
      <c r="F41" s="964"/>
      <c r="G41" s="350" t="s">
        <v>336</v>
      </c>
    </row>
    <row r="42" spans="1:7" x14ac:dyDescent="0.25">
      <c r="A42" s="965"/>
      <c r="B42" s="348"/>
      <c r="C42" s="348"/>
      <c r="D42" s="348"/>
      <c r="E42" s="348"/>
      <c r="F42" s="348"/>
      <c r="G42" s="351" t="s">
        <v>352</v>
      </c>
    </row>
    <row r="43" spans="1:7" x14ac:dyDescent="0.25">
      <c r="A43" s="965"/>
      <c r="B43" s="352"/>
      <c r="C43" s="352"/>
      <c r="D43" s="352"/>
      <c r="E43" s="352"/>
      <c r="F43" s="352"/>
      <c r="G43" s="351" t="s">
        <v>353</v>
      </c>
    </row>
    <row r="44" spans="1:7" x14ac:dyDescent="0.25">
      <c r="A44" s="965"/>
      <c r="B44" s="971" t="s">
        <v>5</v>
      </c>
      <c r="C44" s="960" t="s">
        <v>499</v>
      </c>
      <c r="D44" s="960"/>
      <c r="E44" s="960"/>
      <c r="F44" s="960"/>
      <c r="G44" s="345">
        <v>10041</v>
      </c>
    </row>
    <row r="45" spans="1:7" x14ac:dyDescent="0.25">
      <c r="A45" s="965"/>
      <c r="B45" s="971"/>
      <c r="C45" s="960"/>
      <c r="D45" s="960"/>
      <c r="E45" s="960"/>
      <c r="F45" s="960"/>
      <c r="G45" s="346">
        <v>-6174</v>
      </c>
    </row>
    <row r="46" spans="1:7" ht="26.4" customHeight="1" x14ac:dyDescent="0.25">
      <c r="A46" s="965"/>
      <c r="B46" s="971"/>
      <c r="C46" s="960"/>
      <c r="D46" s="960"/>
      <c r="E46" s="960"/>
      <c r="F46" s="960"/>
      <c r="G46" s="347">
        <f>SUM(G44:G45)</f>
        <v>3867</v>
      </c>
    </row>
    <row r="47" spans="1:7" x14ac:dyDescent="0.25">
      <c r="A47" s="965"/>
      <c r="B47" s="971" t="s">
        <v>486</v>
      </c>
      <c r="C47" s="960" t="s">
        <v>503</v>
      </c>
      <c r="D47" s="961"/>
      <c r="E47" s="961"/>
      <c r="F47" s="961"/>
      <c r="G47" s="345">
        <v>5632</v>
      </c>
    </row>
    <row r="48" spans="1:7" x14ac:dyDescent="0.25">
      <c r="A48" s="965"/>
      <c r="B48" s="971"/>
      <c r="C48" s="960"/>
      <c r="D48" s="961"/>
      <c r="E48" s="961"/>
      <c r="F48" s="961"/>
      <c r="G48" s="346">
        <v>-2476</v>
      </c>
    </row>
    <row r="49" spans="1:7" ht="25.5" customHeight="1" x14ac:dyDescent="0.25">
      <c r="A49" s="965"/>
      <c r="B49" s="971"/>
      <c r="C49" s="960"/>
      <c r="D49" s="961"/>
      <c r="E49" s="961"/>
      <c r="F49" s="961"/>
      <c r="G49" s="347">
        <f>SUM(G47:G48)</f>
        <v>3156</v>
      </c>
    </row>
    <row r="50" spans="1:7" x14ac:dyDescent="0.25">
      <c r="A50" s="965"/>
      <c r="B50" s="971" t="s">
        <v>485</v>
      </c>
      <c r="C50" s="960" t="s">
        <v>509</v>
      </c>
      <c r="D50" s="961"/>
      <c r="E50" s="961"/>
      <c r="F50" s="961"/>
      <c r="G50" s="345">
        <v>3083</v>
      </c>
    </row>
    <row r="51" spans="1:7" x14ac:dyDescent="0.25">
      <c r="A51" s="965"/>
      <c r="B51" s="971"/>
      <c r="C51" s="960"/>
      <c r="D51" s="961"/>
      <c r="E51" s="961"/>
      <c r="F51" s="961"/>
      <c r="G51" s="346">
        <v>-759</v>
      </c>
    </row>
    <row r="52" spans="1:7" ht="39.6" customHeight="1" x14ac:dyDescent="0.25">
      <c r="A52" s="965"/>
      <c r="B52" s="971"/>
      <c r="C52" s="960"/>
      <c r="D52" s="961"/>
      <c r="E52" s="961"/>
      <c r="F52" s="961"/>
      <c r="G52" s="347">
        <f>SUM(G50:G51)</f>
        <v>2324</v>
      </c>
    </row>
    <row r="53" spans="1:7" x14ac:dyDescent="0.25">
      <c r="A53" s="965"/>
      <c r="B53" s="971" t="s">
        <v>359</v>
      </c>
      <c r="C53" s="960" t="s">
        <v>504</v>
      </c>
      <c r="D53" s="961"/>
      <c r="E53" s="961"/>
      <c r="F53" s="961"/>
      <c r="G53" s="345">
        <v>1758</v>
      </c>
    </row>
    <row r="54" spans="1:7" x14ac:dyDescent="0.25">
      <c r="A54" s="965"/>
      <c r="B54" s="971"/>
      <c r="C54" s="960"/>
      <c r="D54" s="961"/>
      <c r="E54" s="961"/>
      <c r="F54" s="961"/>
      <c r="G54" s="346">
        <v>-1026</v>
      </c>
    </row>
    <row r="55" spans="1:7" ht="39.6" customHeight="1" x14ac:dyDescent="0.25">
      <c r="A55" s="965"/>
      <c r="B55" s="971"/>
      <c r="C55" s="960"/>
      <c r="D55" s="961"/>
      <c r="E55" s="961"/>
      <c r="F55" s="961"/>
      <c r="G55" s="347">
        <f>SUM(G53:G54)</f>
        <v>732</v>
      </c>
    </row>
    <row r="56" spans="1:7" ht="12.75" customHeight="1" x14ac:dyDescent="0.25">
      <c r="A56" s="965"/>
      <c r="B56" s="754"/>
      <c r="C56" s="754"/>
      <c r="D56" s="754"/>
      <c r="E56" s="754"/>
      <c r="F56" s="754"/>
      <c r="G56" s="349" t="s">
        <v>351</v>
      </c>
    </row>
    <row r="57" spans="1:7" x14ac:dyDescent="0.25">
      <c r="A57" s="965"/>
      <c r="B57" s="754" t="s">
        <v>729</v>
      </c>
      <c r="C57" s="964" t="s">
        <v>508</v>
      </c>
      <c r="D57" s="964"/>
      <c r="E57" s="964"/>
      <c r="F57" s="964"/>
      <c r="G57" s="350" t="s">
        <v>336</v>
      </c>
    </row>
    <row r="58" spans="1:7" x14ac:dyDescent="0.25">
      <c r="A58" s="965"/>
      <c r="B58" s="754"/>
      <c r="C58" s="754"/>
      <c r="D58" s="754"/>
      <c r="E58" s="754"/>
      <c r="F58" s="754"/>
      <c r="G58" s="351" t="s">
        <v>352</v>
      </c>
    </row>
    <row r="59" spans="1:7" x14ac:dyDescent="0.25">
      <c r="A59" s="965"/>
      <c r="B59" s="352"/>
      <c r="C59" s="352"/>
      <c r="D59" s="352"/>
      <c r="E59" s="352"/>
      <c r="F59" s="352"/>
      <c r="G59" s="351" t="s">
        <v>353</v>
      </c>
    </row>
    <row r="60" spans="1:7" x14ac:dyDescent="0.25">
      <c r="A60" s="965"/>
      <c r="B60" s="971" t="s">
        <v>360</v>
      </c>
      <c r="C60" s="960" t="s">
        <v>500</v>
      </c>
      <c r="D60" s="961"/>
      <c r="E60" s="961"/>
      <c r="F60" s="961"/>
      <c r="G60" s="345">
        <v>212</v>
      </c>
    </row>
    <row r="61" spans="1:7" x14ac:dyDescent="0.25">
      <c r="A61" s="965"/>
      <c r="B61" s="971"/>
      <c r="C61" s="960"/>
      <c r="D61" s="961"/>
      <c r="E61" s="961"/>
      <c r="F61" s="961"/>
      <c r="G61" s="346">
        <v>-394</v>
      </c>
    </row>
    <row r="62" spans="1:7" ht="79.2" customHeight="1" x14ac:dyDescent="0.25">
      <c r="A62" s="965"/>
      <c r="B62" s="971"/>
      <c r="C62" s="960"/>
      <c r="D62" s="961"/>
      <c r="E62" s="961"/>
      <c r="F62" s="961"/>
      <c r="G62" s="347">
        <f>SUM(G60:G61)</f>
        <v>-182</v>
      </c>
    </row>
    <row r="63" spans="1:7" x14ac:dyDescent="0.25">
      <c r="A63" s="965"/>
      <c r="B63" s="971" t="s">
        <v>361</v>
      </c>
      <c r="C63" s="960" t="s">
        <v>501</v>
      </c>
      <c r="D63" s="960"/>
      <c r="E63" s="960"/>
      <c r="F63" s="960"/>
      <c r="G63" s="345">
        <v>791</v>
      </c>
    </row>
    <row r="64" spans="1:7" x14ac:dyDescent="0.25">
      <c r="A64" s="965"/>
      <c r="B64" s="971"/>
      <c r="C64" s="960"/>
      <c r="D64" s="960"/>
      <c r="E64" s="960"/>
      <c r="F64" s="960"/>
      <c r="G64" s="346">
        <v>-347</v>
      </c>
    </row>
    <row r="65" spans="1:7" ht="66" customHeight="1" x14ac:dyDescent="0.25">
      <c r="A65" s="965"/>
      <c r="B65" s="971"/>
      <c r="C65" s="960"/>
      <c r="D65" s="960"/>
      <c r="E65" s="960"/>
      <c r="F65" s="960"/>
      <c r="G65" s="347">
        <f>SUM(G63:G64)</f>
        <v>444</v>
      </c>
    </row>
    <row r="66" spans="1:7" x14ac:dyDescent="0.25">
      <c r="A66" s="965"/>
      <c r="B66" s="971" t="s">
        <v>362</v>
      </c>
      <c r="C66" s="960" t="s">
        <v>502</v>
      </c>
      <c r="D66" s="961"/>
      <c r="E66" s="961"/>
      <c r="F66" s="961"/>
      <c r="G66" s="345">
        <v>1363</v>
      </c>
    </row>
    <row r="67" spans="1:7" x14ac:dyDescent="0.25">
      <c r="A67" s="965"/>
      <c r="B67" s="971"/>
      <c r="C67" s="960"/>
      <c r="D67" s="961"/>
      <c r="E67" s="961"/>
      <c r="F67" s="961"/>
      <c r="G67" s="346">
        <v>-979</v>
      </c>
    </row>
    <row r="68" spans="1:7" ht="26.4" customHeight="1" x14ac:dyDescent="0.25">
      <c r="A68" s="965"/>
      <c r="B68" s="971"/>
      <c r="C68" s="960"/>
      <c r="D68" s="961"/>
      <c r="E68" s="961"/>
      <c r="F68" s="961"/>
      <c r="G68" s="347">
        <f>SUM(G66:G67)</f>
        <v>384</v>
      </c>
    </row>
    <row r="69" spans="1:7" x14ac:dyDescent="0.25">
      <c r="A69" s="972"/>
      <c r="B69" s="971" t="s">
        <v>233</v>
      </c>
      <c r="C69" s="960" t="s">
        <v>234</v>
      </c>
      <c r="D69" s="961"/>
      <c r="E69" s="961"/>
      <c r="F69" s="961"/>
      <c r="G69" s="345">
        <v>404</v>
      </c>
    </row>
    <row r="70" spans="1:7" x14ac:dyDescent="0.25">
      <c r="A70" s="972"/>
      <c r="B70" s="971"/>
      <c r="C70" s="960"/>
      <c r="D70" s="961"/>
      <c r="E70" s="961"/>
      <c r="F70" s="961"/>
      <c r="G70" s="346">
        <v>-55</v>
      </c>
    </row>
    <row r="71" spans="1:7" ht="26.4" customHeight="1" x14ac:dyDescent="0.25">
      <c r="A71" s="972"/>
      <c r="B71" s="971"/>
      <c r="C71" s="960"/>
      <c r="D71" s="961"/>
      <c r="E71" s="961"/>
      <c r="F71" s="961"/>
      <c r="G71" s="347">
        <f>SUM(G69:G70)</f>
        <v>349</v>
      </c>
    </row>
    <row r="72" spans="1:7" x14ac:dyDescent="0.25">
      <c r="A72" s="972"/>
      <c r="B72" s="971" t="s">
        <v>235</v>
      </c>
      <c r="C72" s="960" t="s">
        <v>505</v>
      </c>
      <c r="D72" s="961"/>
      <c r="E72" s="961"/>
      <c r="F72" s="961"/>
      <c r="G72" s="345">
        <v>712</v>
      </c>
    </row>
    <row r="73" spans="1:7" x14ac:dyDescent="0.25">
      <c r="A73" s="972"/>
      <c r="B73" s="971"/>
      <c r="C73" s="960"/>
      <c r="D73" s="961"/>
      <c r="E73" s="961"/>
      <c r="F73" s="961"/>
      <c r="G73" s="346">
        <v>-256</v>
      </c>
    </row>
    <row r="74" spans="1:7" ht="52.95" customHeight="1" x14ac:dyDescent="0.25">
      <c r="A74" s="972"/>
      <c r="B74" s="971"/>
      <c r="C74" s="960"/>
      <c r="D74" s="961"/>
      <c r="E74" s="961"/>
      <c r="F74" s="961"/>
      <c r="G74" s="347">
        <f>SUM(G72:G73)</f>
        <v>456</v>
      </c>
    </row>
    <row r="75" spans="1:7" x14ac:dyDescent="0.25">
      <c r="A75" s="972"/>
      <c r="B75" s="971" t="s">
        <v>484</v>
      </c>
      <c r="C75" s="960" t="s">
        <v>506</v>
      </c>
      <c r="D75" s="961"/>
      <c r="E75" s="961"/>
      <c r="F75" s="961"/>
      <c r="G75" s="345">
        <v>298</v>
      </c>
    </row>
    <row r="76" spans="1:7" x14ac:dyDescent="0.25">
      <c r="A76" s="972"/>
      <c r="B76" s="971"/>
      <c r="C76" s="960"/>
      <c r="D76" s="961"/>
      <c r="E76" s="961"/>
      <c r="F76" s="961"/>
      <c r="G76" s="346">
        <v>-50</v>
      </c>
    </row>
    <row r="77" spans="1:7" ht="26.4" customHeight="1" x14ac:dyDescent="0.25">
      <c r="A77" s="972"/>
      <c r="B77" s="971"/>
      <c r="C77" s="960"/>
      <c r="D77" s="961"/>
      <c r="E77" s="961"/>
      <c r="F77" s="961"/>
      <c r="G77" s="347">
        <f>SUM(G75:G76)</f>
        <v>248</v>
      </c>
    </row>
    <row r="78" spans="1:7" x14ac:dyDescent="0.25">
      <c r="A78" s="972"/>
      <c r="B78" s="971" t="s">
        <v>483</v>
      </c>
      <c r="C78" s="960" t="s">
        <v>507</v>
      </c>
      <c r="D78" s="961"/>
      <c r="E78" s="961"/>
      <c r="F78" s="961"/>
      <c r="G78" s="345">
        <v>785</v>
      </c>
    </row>
    <row r="79" spans="1:7" x14ac:dyDescent="0.25">
      <c r="A79" s="972"/>
      <c r="B79" s="971"/>
      <c r="C79" s="960"/>
      <c r="D79" s="961"/>
      <c r="E79" s="961"/>
      <c r="F79" s="961"/>
      <c r="G79" s="346">
        <v>-106</v>
      </c>
    </row>
    <row r="80" spans="1:7" ht="26.4" customHeight="1" x14ac:dyDescent="0.25">
      <c r="A80" s="972"/>
      <c r="B80" s="971"/>
      <c r="C80" s="960"/>
      <c r="D80" s="961"/>
      <c r="E80" s="961"/>
      <c r="F80" s="961"/>
      <c r="G80" s="347">
        <f>SUM(G78:G79)</f>
        <v>679</v>
      </c>
    </row>
    <row r="81" spans="1:7" ht="19.5" customHeight="1" x14ac:dyDescent="0.25">
      <c r="A81" s="1005" t="s">
        <v>819</v>
      </c>
      <c r="B81" s="241" t="s">
        <v>472</v>
      </c>
      <c r="C81" s="240"/>
      <c r="D81" s="240"/>
      <c r="E81" s="240"/>
      <c r="F81" s="240"/>
      <c r="G81" s="240"/>
    </row>
    <row r="82" spans="1:7" ht="39.6" customHeight="1" x14ac:dyDescent="0.25">
      <c r="A82" s="1005"/>
      <c r="B82" s="939" t="s">
        <v>1091</v>
      </c>
      <c r="C82" s="1027"/>
      <c r="D82" s="1027"/>
      <c r="E82" s="1027"/>
      <c r="F82" s="1027"/>
      <c r="G82" s="1027"/>
    </row>
    <row r="83" spans="1:7" ht="66" customHeight="1" x14ac:dyDescent="0.25">
      <c r="A83" s="1005"/>
      <c r="B83" s="949" t="s">
        <v>745</v>
      </c>
      <c r="C83" s="958"/>
      <c r="D83" s="958"/>
      <c r="E83" s="958"/>
      <c r="F83" s="958"/>
      <c r="G83" s="958"/>
    </row>
    <row r="84" spans="1:7" x14ac:dyDescent="0.25">
      <c r="A84" s="1005"/>
      <c r="B84" s="901"/>
      <c r="C84" s="928"/>
      <c r="D84" s="928"/>
      <c r="E84" s="928"/>
      <c r="F84" s="928"/>
      <c r="G84" s="928"/>
    </row>
    <row r="85" spans="1:7" x14ac:dyDescent="0.25">
      <c r="A85" s="1005"/>
      <c r="B85" s="898" t="s">
        <v>356</v>
      </c>
      <c r="C85" s="928"/>
      <c r="D85" s="928"/>
      <c r="E85" s="928"/>
      <c r="F85" s="928"/>
      <c r="G85" s="928"/>
    </row>
    <row r="86" spans="1:7" ht="52.95" customHeight="1" x14ac:dyDescent="0.25">
      <c r="A86" s="1005" t="s">
        <v>818</v>
      </c>
      <c r="B86" s="949" t="s">
        <v>1340</v>
      </c>
      <c r="C86" s="958"/>
      <c r="D86" s="958"/>
      <c r="E86" s="958"/>
      <c r="F86" s="958"/>
      <c r="G86" s="958"/>
    </row>
    <row r="87" spans="1:7" ht="26.4" customHeight="1" x14ac:dyDescent="0.25">
      <c r="A87" s="1005"/>
      <c r="B87" s="949" t="s">
        <v>1341</v>
      </c>
      <c r="C87" s="958"/>
      <c r="D87" s="958"/>
      <c r="E87" s="958"/>
      <c r="F87" s="958"/>
      <c r="G87" s="958"/>
    </row>
    <row r="88" spans="1:7" ht="39.6" customHeight="1" x14ac:dyDescent="0.25">
      <c r="A88" s="1005"/>
      <c r="B88" s="949" t="s">
        <v>1342</v>
      </c>
      <c r="C88" s="958"/>
      <c r="D88" s="958"/>
      <c r="E88" s="958"/>
      <c r="F88" s="958"/>
      <c r="G88" s="958"/>
    </row>
    <row r="89" spans="1:7" ht="26.4" customHeight="1" x14ac:dyDescent="0.25">
      <c r="A89" s="1005"/>
      <c r="B89" s="949" t="s">
        <v>1343</v>
      </c>
      <c r="C89" s="958"/>
      <c r="D89" s="958"/>
      <c r="E89" s="958"/>
      <c r="F89" s="958"/>
      <c r="G89" s="958"/>
    </row>
    <row r="90" spans="1:7" x14ac:dyDescent="0.25">
      <c r="A90" s="260"/>
      <c r="B90" s="259"/>
      <c r="C90" s="258"/>
      <c r="D90" s="258"/>
      <c r="E90" s="258"/>
      <c r="F90" s="258"/>
      <c r="G90" s="258"/>
    </row>
    <row r="91" spans="1:7" x14ac:dyDescent="0.25">
      <c r="A91" s="965" t="s">
        <v>820</v>
      </c>
      <c r="B91" s="994" t="s">
        <v>497</v>
      </c>
      <c r="C91" s="996"/>
      <c r="D91" s="996"/>
      <c r="E91" s="996"/>
      <c r="F91" s="996"/>
      <c r="G91" s="996"/>
    </row>
    <row r="92" spans="1:7" x14ac:dyDescent="0.25">
      <c r="A92" s="965"/>
      <c r="B92" s="233" t="s">
        <v>746</v>
      </c>
      <c r="C92" s="230"/>
      <c r="D92" s="230"/>
      <c r="E92" s="230"/>
      <c r="F92" s="230"/>
      <c r="G92" s="230"/>
    </row>
    <row r="93" spans="1:7" s="234" customFormat="1" ht="27.6" customHeight="1" thickBot="1" x14ac:dyDescent="0.3">
      <c r="A93" s="965"/>
      <c r="B93" s="356" t="s">
        <v>337</v>
      </c>
      <c r="C93" s="356" t="s">
        <v>424</v>
      </c>
      <c r="D93" s="969" t="s">
        <v>357</v>
      </c>
      <c r="E93" s="1012"/>
      <c r="F93" s="969" t="s">
        <v>473</v>
      </c>
      <c r="G93" s="1013"/>
    </row>
    <row r="94" spans="1:7" ht="25.5" customHeight="1" x14ac:dyDescent="0.25">
      <c r="A94" s="965"/>
      <c r="B94" s="962" t="s">
        <v>478</v>
      </c>
      <c r="C94" s="962" t="s">
        <v>479</v>
      </c>
      <c r="D94" s="987" t="s">
        <v>730</v>
      </c>
      <c r="E94" s="988"/>
      <c r="F94" s="981" t="s">
        <v>480</v>
      </c>
      <c r="G94" s="985"/>
    </row>
    <row r="95" spans="1:7" x14ac:dyDescent="0.25">
      <c r="A95" s="965"/>
      <c r="B95" s="979"/>
      <c r="C95" s="979"/>
      <c r="D95" s="981"/>
      <c r="E95" s="984"/>
      <c r="F95" s="981"/>
      <c r="G95" s="985"/>
    </row>
    <row r="96" spans="1:7" x14ac:dyDescent="0.25">
      <c r="A96" s="965"/>
      <c r="B96" s="979"/>
      <c r="C96" s="979"/>
      <c r="D96" s="981"/>
      <c r="E96" s="984"/>
      <c r="F96" s="981"/>
      <c r="G96" s="985"/>
    </row>
    <row r="97" spans="1:7" x14ac:dyDescent="0.25">
      <c r="A97" s="965"/>
      <c r="B97" s="979"/>
      <c r="C97" s="979"/>
      <c r="D97" s="981"/>
      <c r="E97" s="984"/>
      <c r="F97" s="981"/>
      <c r="G97" s="985"/>
    </row>
    <row r="98" spans="1:7" ht="63.75" customHeight="1" thickBot="1" x14ac:dyDescent="0.3">
      <c r="A98" s="965"/>
      <c r="B98" s="235"/>
      <c r="C98" s="235"/>
      <c r="D98" s="976" t="s">
        <v>731</v>
      </c>
      <c r="E98" s="986"/>
      <c r="F98" s="976" t="s">
        <v>481</v>
      </c>
      <c r="G98" s="977"/>
    </row>
    <row r="99" spans="1:7" ht="51" customHeight="1" x14ac:dyDescent="0.25">
      <c r="A99" s="965"/>
      <c r="B99" s="979" t="s">
        <v>482</v>
      </c>
      <c r="C99" s="979" t="s">
        <v>479</v>
      </c>
      <c r="D99" s="981" t="s">
        <v>654</v>
      </c>
      <c r="E99" s="982"/>
      <c r="F99" s="981" t="s">
        <v>655</v>
      </c>
      <c r="G99" s="985"/>
    </row>
    <row r="100" spans="1:7" ht="16.5" customHeight="1" x14ac:dyDescent="0.25">
      <c r="A100" s="965"/>
      <c r="B100" s="980"/>
      <c r="C100" s="980"/>
      <c r="D100" s="983"/>
      <c r="E100" s="984"/>
      <c r="F100" s="983"/>
      <c r="G100" s="985"/>
    </row>
    <row r="101" spans="1:7" ht="77.25" customHeight="1" thickBot="1" x14ac:dyDescent="0.3">
      <c r="A101" s="965"/>
      <c r="B101" s="235"/>
      <c r="C101" s="235"/>
      <c r="D101" s="976" t="s">
        <v>656</v>
      </c>
      <c r="E101" s="986"/>
      <c r="F101" s="976" t="s">
        <v>657</v>
      </c>
      <c r="G101" s="977"/>
    </row>
    <row r="102" spans="1:7" ht="51" customHeight="1" thickBot="1" x14ac:dyDescent="0.3">
      <c r="A102" s="965"/>
      <c r="B102" s="235" t="s">
        <v>487</v>
      </c>
      <c r="C102" s="235" t="s">
        <v>479</v>
      </c>
      <c r="D102" s="976" t="s">
        <v>510</v>
      </c>
      <c r="E102" s="976"/>
      <c r="F102" s="976" t="s">
        <v>488</v>
      </c>
      <c r="G102" s="977"/>
    </row>
    <row r="103" spans="1:7" ht="38.25" customHeight="1" x14ac:dyDescent="0.25">
      <c r="A103" s="965"/>
      <c r="B103" s="962" t="s">
        <v>658</v>
      </c>
      <c r="C103" s="962" t="s">
        <v>489</v>
      </c>
      <c r="D103" s="987" t="s">
        <v>659</v>
      </c>
      <c r="E103" s="988"/>
      <c r="F103" s="981" t="s">
        <v>660</v>
      </c>
      <c r="G103" s="989"/>
    </row>
    <row r="104" spans="1:7" ht="13.8" thickBot="1" x14ac:dyDescent="0.3">
      <c r="A104" s="965"/>
      <c r="B104" s="963"/>
      <c r="C104" s="963"/>
      <c r="D104" s="976"/>
      <c r="E104" s="986"/>
      <c r="F104" s="976"/>
      <c r="G104" s="977"/>
    </row>
    <row r="105" spans="1:7" ht="105.75" customHeight="1" thickBot="1" x14ac:dyDescent="0.3">
      <c r="A105" s="965"/>
      <c r="B105" s="232" t="s">
        <v>483</v>
      </c>
      <c r="C105" s="232" t="s">
        <v>490</v>
      </c>
      <c r="D105" s="1024" t="s">
        <v>511</v>
      </c>
      <c r="E105" s="1025"/>
      <c r="F105" s="1024" t="s">
        <v>784</v>
      </c>
      <c r="G105" s="1026"/>
    </row>
    <row r="106" spans="1:7" x14ac:dyDescent="0.25">
      <c r="A106" s="225"/>
      <c r="B106" s="227"/>
      <c r="C106" s="221"/>
      <c r="D106" s="221"/>
      <c r="E106" s="221"/>
      <c r="F106" s="221"/>
      <c r="G106" s="221"/>
    </row>
    <row r="107" spans="1:7" x14ac:dyDescent="0.25">
      <c r="A107" s="225"/>
      <c r="B107" s="994" t="s">
        <v>68</v>
      </c>
      <c r="C107" s="994"/>
      <c r="D107" s="994"/>
      <c r="E107" s="994"/>
      <c r="F107" s="994"/>
      <c r="G107" s="994"/>
    </row>
    <row r="108" spans="1:7" ht="39.6" customHeight="1" x14ac:dyDescent="0.25">
      <c r="A108" s="965"/>
      <c r="B108" s="995" t="s">
        <v>512</v>
      </c>
      <c r="C108" s="995"/>
      <c r="D108" s="995"/>
      <c r="E108" s="995"/>
      <c r="F108" s="995"/>
      <c r="G108" s="995"/>
    </row>
    <row r="109" spans="1:7" x14ac:dyDescent="0.25">
      <c r="A109" s="965"/>
      <c r="B109" s="227"/>
      <c r="C109" s="221"/>
      <c r="D109" s="221"/>
      <c r="E109" s="221"/>
      <c r="F109" s="221"/>
      <c r="G109" s="221"/>
    </row>
    <row r="110" spans="1:7" x14ac:dyDescent="0.25">
      <c r="A110" s="965" t="s">
        <v>818</v>
      </c>
      <c r="B110" s="229" t="s">
        <v>477</v>
      </c>
      <c r="C110" s="221"/>
      <c r="D110" s="221"/>
      <c r="E110" s="221"/>
      <c r="F110" s="221"/>
      <c r="G110" s="221"/>
    </row>
    <row r="111" spans="1:7" ht="12.75" customHeight="1" x14ac:dyDescent="0.25">
      <c r="A111" s="972"/>
      <c r="B111" s="348"/>
      <c r="C111" s="348"/>
      <c r="D111" s="348"/>
      <c r="E111" s="348"/>
      <c r="F111" s="348"/>
      <c r="G111" s="349" t="s">
        <v>351</v>
      </c>
    </row>
    <row r="112" spans="1:7" x14ac:dyDescent="0.25">
      <c r="A112" s="972"/>
      <c r="B112" s="348" t="s">
        <v>729</v>
      </c>
      <c r="C112" s="964" t="s">
        <v>508</v>
      </c>
      <c r="D112" s="964"/>
      <c r="E112" s="964"/>
      <c r="F112" s="964"/>
      <c r="G112" s="350" t="s">
        <v>336</v>
      </c>
    </row>
    <row r="113" spans="1:12" x14ac:dyDescent="0.25">
      <c r="A113" s="972"/>
      <c r="B113" s="348"/>
      <c r="C113" s="348"/>
      <c r="D113" s="348"/>
      <c r="E113" s="348"/>
      <c r="F113" s="348"/>
      <c r="G113" s="351" t="s">
        <v>352</v>
      </c>
    </row>
    <row r="114" spans="1:12" x14ac:dyDescent="0.25">
      <c r="A114" s="972"/>
      <c r="B114" s="352"/>
      <c r="C114" s="352"/>
      <c r="D114" s="352"/>
      <c r="E114" s="352"/>
      <c r="F114" s="352"/>
      <c r="G114" s="351" t="s">
        <v>353</v>
      </c>
    </row>
    <row r="115" spans="1:12" x14ac:dyDescent="0.25">
      <c r="A115" s="972"/>
      <c r="B115" s="999" t="s">
        <v>491</v>
      </c>
      <c r="C115" s="1002" t="s">
        <v>237</v>
      </c>
      <c r="D115" s="1002"/>
      <c r="E115" s="1002"/>
      <c r="F115" s="1002"/>
      <c r="G115" s="345">
        <v>537</v>
      </c>
    </row>
    <row r="116" spans="1:12" x14ac:dyDescent="0.25">
      <c r="A116" s="972"/>
      <c r="B116" s="1000"/>
      <c r="C116" s="1003"/>
      <c r="D116" s="1003"/>
      <c r="E116" s="1003"/>
      <c r="F116" s="1003"/>
      <c r="G116" s="346">
        <v>0</v>
      </c>
    </row>
    <row r="117" spans="1:12" x14ac:dyDescent="0.25">
      <c r="A117" s="972"/>
      <c r="B117" s="1001"/>
      <c r="C117" s="1004"/>
      <c r="D117" s="1004"/>
      <c r="E117" s="1004"/>
      <c r="F117" s="1004"/>
      <c r="G117" s="347">
        <f>SUM(G115:G116)</f>
        <v>537</v>
      </c>
    </row>
    <row r="118" spans="1:12" x14ac:dyDescent="0.25">
      <c r="A118" s="282"/>
      <c r="B118" s="285"/>
      <c r="C118" s="286"/>
      <c r="D118" s="286"/>
      <c r="E118" s="286"/>
      <c r="F118" s="286"/>
      <c r="G118" s="357"/>
    </row>
    <row r="119" spans="1:12" ht="12.75" customHeight="1" x14ac:dyDescent="0.25">
      <c r="A119" s="965" t="s">
        <v>819</v>
      </c>
      <c r="B119" s="241" t="s">
        <v>472</v>
      </c>
      <c r="C119" s="240"/>
      <c r="D119" s="240"/>
      <c r="E119" s="240"/>
      <c r="F119" s="240"/>
      <c r="G119" s="240"/>
    </row>
    <row r="120" spans="1:12" ht="39.6" customHeight="1" x14ac:dyDescent="0.25">
      <c r="A120" s="965"/>
      <c r="B120" s="938" t="s">
        <v>785</v>
      </c>
      <c r="C120" s="1023"/>
      <c r="D120" s="1023"/>
      <c r="E120" s="1023"/>
      <c r="F120" s="1023"/>
      <c r="G120" s="1023"/>
    </row>
    <row r="121" spans="1:12" x14ac:dyDescent="0.25">
      <c r="A121" s="245"/>
      <c r="B121" s="929"/>
      <c r="C121" s="930"/>
      <c r="D121" s="930"/>
      <c r="E121" s="930"/>
      <c r="F121" s="930"/>
      <c r="G121" s="930"/>
    </row>
    <row r="122" spans="1:12" x14ac:dyDescent="0.25">
      <c r="A122" s="1005" t="s">
        <v>818</v>
      </c>
      <c r="B122" s="908" t="s">
        <v>356</v>
      </c>
      <c r="C122" s="930"/>
      <c r="D122" s="930"/>
      <c r="E122" s="930"/>
      <c r="F122" s="930"/>
      <c r="G122" s="930"/>
    </row>
    <row r="123" spans="1:12" x14ac:dyDescent="0.25">
      <c r="A123" s="1005"/>
      <c r="B123" s="974" t="s">
        <v>1092</v>
      </c>
      <c r="C123" s="975"/>
      <c r="D123" s="975"/>
      <c r="E123" s="975"/>
      <c r="F123" s="975"/>
      <c r="G123" s="975"/>
    </row>
    <row r="124" spans="1:12" x14ac:dyDescent="0.25">
      <c r="A124" s="1005"/>
      <c r="B124" s="931"/>
      <c r="C124" s="932"/>
      <c r="D124" s="932"/>
      <c r="E124" s="932"/>
      <c r="F124" s="932"/>
      <c r="G124" s="932"/>
    </row>
    <row r="125" spans="1:12" s="233" customFormat="1" x14ac:dyDescent="0.25">
      <c r="A125" s="1005"/>
      <c r="B125" s="973" t="s">
        <v>69</v>
      </c>
      <c r="C125" s="973"/>
      <c r="D125" s="973"/>
      <c r="E125" s="973"/>
      <c r="F125" s="973"/>
      <c r="G125" s="973"/>
      <c r="L125" s="358"/>
    </row>
    <row r="126" spans="1:12" ht="39.6" customHeight="1" x14ac:dyDescent="0.25">
      <c r="A126" s="965"/>
      <c r="B126" s="978" t="s">
        <v>513</v>
      </c>
      <c r="C126" s="978"/>
      <c r="D126" s="978"/>
      <c r="E126" s="978"/>
      <c r="F126" s="978"/>
      <c r="G126" s="978"/>
    </row>
    <row r="127" spans="1:12" x14ac:dyDescent="0.25">
      <c r="A127" s="965"/>
      <c r="B127" s="227"/>
      <c r="C127" s="221"/>
      <c r="D127" s="221"/>
      <c r="E127" s="221"/>
      <c r="F127" s="221"/>
      <c r="G127" s="221"/>
    </row>
    <row r="128" spans="1:12" x14ac:dyDescent="0.25">
      <c r="A128" s="965" t="s">
        <v>818</v>
      </c>
      <c r="B128" s="229" t="s">
        <v>477</v>
      </c>
      <c r="C128" s="221"/>
      <c r="D128" s="221"/>
      <c r="E128" s="221"/>
      <c r="F128" s="221"/>
      <c r="G128" s="221"/>
    </row>
    <row r="129" spans="1:7" ht="12.75" customHeight="1" x14ac:dyDescent="0.25">
      <c r="A129" s="965"/>
      <c r="B129" s="348"/>
      <c r="C129" s="348"/>
      <c r="D129" s="348"/>
      <c r="E129" s="348"/>
      <c r="F129" s="348"/>
      <c r="G129" s="349" t="s">
        <v>351</v>
      </c>
    </row>
    <row r="130" spans="1:7" x14ac:dyDescent="0.25">
      <c r="A130" s="965"/>
      <c r="B130" s="348" t="s">
        <v>729</v>
      </c>
      <c r="C130" s="964" t="s">
        <v>508</v>
      </c>
      <c r="D130" s="964"/>
      <c r="E130" s="964"/>
      <c r="F130" s="964"/>
      <c r="G130" s="350" t="s">
        <v>336</v>
      </c>
    </row>
    <row r="131" spans="1:7" x14ac:dyDescent="0.25">
      <c r="A131" s="965"/>
      <c r="B131" s="348"/>
      <c r="C131" s="348"/>
      <c r="D131" s="348"/>
      <c r="E131" s="348"/>
      <c r="F131" s="348"/>
      <c r="G131" s="351" t="s">
        <v>352</v>
      </c>
    </row>
    <row r="132" spans="1:7" x14ac:dyDescent="0.25">
      <c r="A132" s="965"/>
      <c r="B132" s="352"/>
      <c r="C132" s="352"/>
      <c r="D132" s="352"/>
      <c r="E132" s="352"/>
      <c r="F132" s="352"/>
      <c r="G132" s="351" t="s">
        <v>353</v>
      </c>
    </row>
    <row r="133" spans="1:7" x14ac:dyDescent="0.25">
      <c r="A133" s="965"/>
      <c r="B133" s="971" t="s">
        <v>492</v>
      </c>
      <c r="C133" s="960" t="s">
        <v>216</v>
      </c>
      <c r="D133" s="960"/>
      <c r="E133" s="960"/>
      <c r="F133" s="960"/>
      <c r="G133" s="345">
        <v>2003</v>
      </c>
    </row>
    <row r="134" spans="1:7" x14ac:dyDescent="0.25">
      <c r="A134" s="965"/>
      <c r="B134" s="971"/>
      <c r="C134" s="960"/>
      <c r="D134" s="960"/>
      <c r="E134" s="960"/>
      <c r="F134" s="960"/>
      <c r="G134" s="346">
        <v>-345</v>
      </c>
    </row>
    <row r="135" spans="1:7" ht="39.6" customHeight="1" x14ac:dyDescent="0.25">
      <c r="A135" s="965"/>
      <c r="B135" s="971"/>
      <c r="C135" s="960"/>
      <c r="D135" s="960"/>
      <c r="E135" s="960"/>
      <c r="F135" s="960"/>
      <c r="G135" s="347">
        <f>SUM(G133:G134)</f>
        <v>1658</v>
      </c>
    </row>
    <row r="136" spans="1:7" x14ac:dyDescent="0.25">
      <c r="A136" s="965"/>
      <c r="B136" s="971" t="s">
        <v>493</v>
      </c>
      <c r="C136" s="960" t="s">
        <v>217</v>
      </c>
      <c r="D136" s="960"/>
      <c r="E136" s="960"/>
      <c r="F136" s="960"/>
      <c r="G136" s="345">
        <v>1729</v>
      </c>
    </row>
    <row r="137" spans="1:7" x14ac:dyDescent="0.25">
      <c r="A137" s="965"/>
      <c r="B137" s="971"/>
      <c r="C137" s="960"/>
      <c r="D137" s="960"/>
      <c r="E137" s="960"/>
      <c r="F137" s="960"/>
      <c r="G137" s="346">
        <v>0</v>
      </c>
    </row>
    <row r="138" spans="1:7" ht="26.4" customHeight="1" x14ac:dyDescent="0.25">
      <c r="A138" s="965"/>
      <c r="B138" s="971"/>
      <c r="C138" s="960"/>
      <c r="D138" s="960"/>
      <c r="E138" s="960"/>
      <c r="F138" s="960"/>
      <c r="G138" s="347">
        <f>SUM(G136:G137)</f>
        <v>1729</v>
      </c>
    </row>
    <row r="139" spans="1:7" x14ac:dyDescent="0.25">
      <c r="A139" s="965"/>
      <c r="B139" s="971" t="s">
        <v>218</v>
      </c>
      <c r="C139" s="960" t="s">
        <v>219</v>
      </c>
      <c r="D139" s="961"/>
      <c r="E139" s="961"/>
      <c r="F139" s="961"/>
      <c r="G139" s="345">
        <v>806</v>
      </c>
    </row>
    <row r="140" spans="1:7" x14ac:dyDescent="0.25">
      <c r="A140" s="965"/>
      <c r="B140" s="971"/>
      <c r="C140" s="960"/>
      <c r="D140" s="961"/>
      <c r="E140" s="961"/>
      <c r="F140" s="961"/>
      <c r="G140" s="346">
        <v>0</v>
      </c>
    </row>
    <row r="141" spans="1:7" ht="52.95" customHeight="1" x14ac:dyDescent="0.25">
      <c r="A141" s="965"/>
      <c r="B141" s="971"/>
      <c r="C141" s="960"/>
      <c r="D141" s="961"/>
      <c r="E141" s="961"/>
      <c r="F141" s="961"/>
      <c r="G141" s="347">
        <f>SUM(G139:G140)</f>
        <v>806</v>
      </c>
    </row>
    <row r="142" spans="1:7" x14ac:dyDescent="0.25">
      <c r="A142" s="965"/>
      <c r="B142" s="971" t="s">
        <v>220</v>
      </c>
      <c r="C142" s="960" t="s">
        <v>221</v>
      </c>
      <c r="D142" s="961"/>
      <c r="E142" s="961"/>
      <c r="F142" s="961"/>
      <c r="G142" s="345">
        <v>2350</v>
      </c>
    </row>
    <row r="143" spans="1:7" x14ac:dyDescent="0.25">
      <c r="A143" s="965"/>
      <c r="B143" s="971"/>
      <c r="C143" s="960"/>
      <c r="D143" s="961"/>
      <c r="E143" s="961"/>
      <c r="F143" s="961"/>
      <c r="G143" s="346">
        <v>-3621</v>
      </c>
    </row>
    <row r="144" spans="1:7" ht="26.4" customHeight="1" x14ac:dyDescent="0.25">
      <c r="A144" s="965"/>
      <c r="B144" s="971"/>
      <c r="C144" s="960"/>
      <c r="D144" s="961"/>
      <c r="E144" s="961"/>
      <c r="F144" s="961"/>
      <c r="G144" s="347">
        <f>SUM(G142:G143)</f>
        <v>-1271</v>
      </c>
    </row>
    <row r="145" spans="1:7" ht="12.75" customHeight="1" x14ac:dyDescent="0.25">
      <c r="A145" s="965"/>
      <c r="B145" s="348"/>
      <c r="C145" s="348"/>
      <c r="D145" s="348"/>
      <c r="E145" s="348"/>
      <c r="F145" s="348"/>
      <c r="G145" s="349" t="s">
        <v>351</v>
      </c>
    </row>
    <row r="146" spans="1:7" ht="12.75" customHeight="1" x14ac:dyDescent="0.25">
      <c r="A146" s="965"/>
      <c r="B146" s="348" t="s">
        <v>729</v>
      </c>
      <c r="C146" s="964" t="s">
        <v>508</v>
      </c>
      <c r="D146" s="964"/>
      <c r="E146" s="964"/>
      <c r="F146" s="964"/>
      <c r="G146" s="350" t="s">
        <v>336</v>
      </c>
    </row>
    <row r="147" spans="1:7" x14ac:dyDescent="0.25">
      <c r="A147" s="965"/>
      <c r="B147" s="348"/>
      <c r="C147" s="348"/>
      <c r="D147" s="348"/>
      <c r="E147" s="348"/>
      <c r="F147" s="348"/>
      <c r="G147" s="351" t="s">
        <v>352</v>
      </c>
    </row>
    <row r="148" spans="1:7" x14ac:dyDescent="0.25">
      <c r="A148" s="965"/>
      <c r="B148" s="352"/>
      <c r="C148" s="352"/>
      <c r="D148" s="352"/>
      <c r="E148" s="352"/>
      <c r="F148" s="352"/>
      <c r="G148" s="351" t="s">
        <v>353</v>
      </c>
    </row>
    <row r="149" spans="1:7" x14ac:dyDescent="0.25">
      <c r="A149" s="965"/>
      <c r="B149" s="971" t="s">
        <v>222</v>
      </c>
      <c r="C149" s="960" t="s">
        <v>1344</v>
      </c>
      <c r="D149" s="961"/>
      <c r="E149" s="961"/>
      <c r="F149" s="961"/>
      <c r="G149" s="345">
        <v>268</v>
      </c>
    </row>
    <row r="150" spans="1:7" x14ac:dyDescent="0.25">
      <c r="A150" s="965"/>
      <c r="B150" s="971"/>
      <c r="C150" s="960"/>
      <c r="D150" s="961"/>
      <c r="E150" s="961"/>
      <c r="F150" s="961"/>
      <c r="G150" s="346">
        <v>0</v>
      </c>
    </row>
    <row r="151" spans="1:7" ht="25.5" customHeight="1" x14ac:dyDescent="0.25">
      <c r="A151" s="965"/>
      <c r="B151" s="971"/>
      <c r="C151" s="960"/>
      <c r="D151" s="961"/>
      <c r="E151" s="961"/>
      <c r="F151" s="961"/>
      <c r="G151" s="347">
        <f>SUM(G149:G150)</f>
        <v>268</v>
      </c>
    </row>
    <row r="152" spans="1:7" x14ac:dyDescent="0.25">
      <c r="A152" s="965"/>
      <c r="B152" s="971" t="s">
        <v>223</v>
      </c>
      <c r="C152" s="960" t="s">
        <v>150</v>
      </c>
      <c r="D152" s="961"/>
      <c r="E152" s="961"/>
      <c r="F152" s="961"/>
      <c r="G152" s="345">
        <v>2233</v>
      </c>
    </row>
    <row r="153" spans="1:7" x14ac:dyDescent="0.25">
      <c r="A153" s="965"/>
      <c r="B153" s="971"/>
      <c r="C153" s="960"/>
      <c r="D153" s="961"/>
      <c r="E153" s="961"/>
      <c r="F153" s="961"/>
      <c r="G153" s="346">
        <v>-280</v>
      </c>
    </row>
    <row r="154" spans="1:7" ht="27" customHeight="1" x14ac:dyDescent="0.25">
      <c r="A154" s="965"/>
      <c r="B154" s="971"/>
      <c r="C154" s="960"/>
      <c r="D154" s="961"/>
      <c r="E154" s="961"/>
      <c r="F154" s="961"/>
      <c r="G154" s="347">
        <f>SUM(G152:G153)</f>
        <v>1953</v>
      </c>
    </row>
    <row r="155" spans="1:7" x14ac:dyDescent="0.25">
      <c r="A155" s="965"/>
      <c r="B155" s="971" t="s">
        <v>151</v>
      </c>
      <c r="C155" s="960" t="s">
        <v>152</v>
      </c>
      <c r="D155" s="961"/>
      <c r="E155" s="961"/>
      <c r="F155" s="961"/>
      <c r="G155" s="345">
        <v>513</v>
      </c>
    </row>
    <row r="156" spans="1:7" x14ac:dyDescent="0.25">
      <c r="A156" s="965"/>
      <c r="B156" s="971"/>
      <c r="C156" s="960"/>
      <c r="D156" s="961"/>
      <c r="E156" s="961"/>
      <c r="F156" s="961"/>
      <c r="G156" s="346">
        <v>0</v>
      </c>
    </row>
    <row r="157" spans="1:7" ht="26.25" customHeight="1" x14ac:dyDescent="0.25">
      <c r="A157" s="965"/>
      <c r="B157" s="971"/>
      <c r="C157" s="960"/>
      <c r="D157" s="961"/>
      <c r="E157" s="961"/>
      <c r="F157" s="961"/>
      <c r="G157" s="347">
        <f>SUM(G155:G156)</f>
        <v>513</v>
      </c>
    </row>
    <row r="158" spans="1:7" x14ac:dyDescent="0.25">
      <c r="A158" s="281"/>
      <c r="B158" s="285"/>
      <c r="C158" s="286"/>
      <c r="D158" s="359"/>
      <c r="E158" s="359"/>
      <c r="F158" s="359"/>
      <c r="G158" s="357"/>
    </row>
    <row r="159" spans="1:7" ht="12.75" customHeight="1" x14ac:dyDescent="0.25">
      <c r="A159" s="965" t="s">
        <v>819</v>
      </c>
      <c r="B159" s="354" t="s">
        <v>472</v>
      </c>
      <c r="C159" s="355"/>
      <c r="D159" s="355"/>
      <c r="E159" s="355"/>
      <c r="F159" s="355"/>
      <c r="G159" s="355"/>
    </row>
    <row r="160" spans="1:7" ht="66" customHeight="1" x14ac:dyDescent="0.25">
      <c r="A160" s="965"/>
      <c r="B160" s="949" t="s">
        <v>747</v>
      </c>
      <c r="C160" s="949"/>
      <c r="D160" s="949"/>
      <c r="E160" s="949"/>
      <c r="F160" s="949"/>
      <c r="G160" s="949"/>
    </row>
    <row r="161" spans="1:7" ht="13.5" customHeight="1" x14ac:dyDescent="0.25">
      <c r="A161" s="1005" t="s">
        <v>818</v>
      </c>
      <c r="B161" s="901"/>
      <c r="C161" s="901"/>
      <c r="D161" s="901"/>
      <c r="E161" s="901"/>
      <c r="F161" s="901"/>
      <c r="G161" s="901"/>
    </row>
    <row r="162" spans="1:7" x14ac:dyDescent="0.25">
      <c r="A162" s="1005"/>
      <c r="B162" s="898" t="s">
        <v>356</v>
      </c>
      <c r="C162" s="928"/>
      <c r="D162" s="928"/>
      <c r="E162" s="928"/>
      <c r="F162" s="928"/>
      <c r="G162" s="928"/>
    </row>
    <row r="163" spans="1:7" ht="52.95" customHeight="1" x14ac:dyDescent="0.25">
      <c r="A163" s="1005"/>
      <c r="B163" s="949" t="s">
        <v>748</v>
      </c>
      <c r="C163" s="949"/>
      <c r="D163" s="949"/>
      <c r="E163" s="949"/>
      <c r="F163" s="949"/>
      <c r="G163" s="949"/>
    </row>
    <row r="164" spans="1:7" x14ac:dyDescent="0.25">
      <c r="A164" s="238"/>
      <c r="B164" s="900"/>
      <c r="C164" s="900"/>
      <c r="D164" s="900"/>
      <c r="E164" s="900"/>
      <c r="F164" s="900"/>
      <c r="G164" s="900"/>
    </row>
    <row r="165" spans="1:7" ht="15.6" customHeight="1" x14ac:dyDescent="0.25">
      <c r="A165" s="236"/>
      <c r="B165" s="1017" t="s">
        <v>70</v>
      </c>
      <c r="C165" s="1017"/>
      <c r="D165" s="1017"/>
      <c r="E165" s="1017"/>
      <c r="F165" s="1017"/>
      <c r="G165" s="1017"/>
    </row>
    <row r="166" spans="1:7" ht="39.6" customHeight="1" x14ac:dyDescent="0.25">
      <c r="A166" s="965"/>
      <c r="B166" s="1006" t="s">
        <v>514</v>
      </c>
      <c r="C166" s="1006"/>
      <c r="D166" s="1006"/>
      <c r="E166" s="1006"/>
      <c r="F166" s="1006"/>
      <c r="G166" s="1006"/>
    </row>
    <row r="167" spans="1:7" x14ac:dyDescent="0.25">
      <c r="A167" s="965"/>
      <c r="B167" s="360"/>
      <c r="C167" s="361"/>
      <c r="D167" s="361"/>
      <c r="E167" s="361"/>
      <c r="F167" s="361"/>
      <c r="G167" s="361"/>
    </row>
    <row r="168" spans="1:7" x14ac:dyDescent="0.25">
      <c r="A168" s="965" t="s">
        <v>818</v>
      </c>
      <c r="B168" s="362" t="s">
        <v>477</v>
      </c>
      <c r="C168" s="361"/>
      <c r="D168" s="361"/>
      <c r="E168" s="361"/>
      <c r="F168" s="361"/>
      <c r="G168" s="361"/>
    </row>
    <row r="169" spans="1:7" ht="12.75" customHeight="1" x14ac:dyDescent="0.25">
      <c r="A169" s="965"/>
      <c r="B169" s="348"/>
      <c r="C169" s="348"/>
      <c r="D169" s="348"/>
      <c r="E169" s="348"/>
      <c r="F169" s="348"/>
      <c r="G169" s="349" t="s">
        <v>351</v>
      </c>
    </row>
    <row r="170" spans="1:7" x14ac:dyDescent="0.25">
      <c r="A170" s="965"/>
      <c r="B170" s="348" t="s">
        <v>729</v>
      </c>
      <c r="C170" s="964" t="s">
        <v>508</v>
      </c>
      <c r="D170" s="964"/>
      <c r="E170" s="964"/>
      <c r="F170" s="964"/>
      <c r="G170" s="350" t="s">
        <v>336</v>
      </c>
    </row>
    <row r="171" spans="1:7" x14ac:dyDescent="0.25">
      <c r="A171" s="965"/>
      <c r="B171" s="348"/>
      <c r="C171" s="348"/>
      <c r="D171" s="348"/>
      <c r="E171" s="348"/>
      <c r="F171" s="348"/>
      <c r="G171" s="351" t="s">
        <v>352</v>
      </c>
    </row>
    <row r="172" spans="1:7" x14ac:dyDescent="0.25">
      <c r="A172" s="965"/>
      <c r="B172" s="352"/>
      <c r="C172" s="352"/>
      <c r="D172" s="352"/>
      <c r="E172" s="352"/>
      <c r="F172" s="352"/>
      <c r="G172" s="351" t="s">
        <v>353</v>
      </c>
    </row>
    <row r="173" spans="1:7" x14ac:dyDescent="0.25">
      <c r="A173" s="965"/>
      <c r="B173" s="971" t="s">
        <v>644</v>
      </c>
      <c r="C173" s="960" t="s">
        <v>323</v>
      </c>
      <c r="D173" s="960"/>
      <c r="E173" s="960"/>
      <c r="F173" s="960"/>
      <c r="G173" s="345">
        <v>2369</v>
      </c>
    </row>
    <row r="174" spans="1:7" x14ac:dyDescent="0.25">
      <c r="A174" s="965"/>
      <c r="B174" s="971"/>
      <c r="C174" s="960"/>
      <c r="D174" s="960"/>
      <c r="E174" s="960"/>
      <c r="F174" s="960"/>
      <c r="G174" s="346">
        <v>0</v>
      </c>
    </row>
    <row r="175" spans="1:7" ht="66" customHeight="1" x14ac:dyDescent="0.25">
      <c r="A175" s="965"/>
      <c r="B175" s="971"/>
      <c r="C175" s="960"/>
      <c r="D175" s="960"/>
      <c r="E175" s="960"/>
      <c r="F175" s="960"/>
      <c r="G175" s="347">
        <f>SUM(G173:G174)</f>
        <v>2369</v>
      </c>
    </row>
    <row r="176" spans="1:7" x14ac:dyDescent="0.25">
      <c r="A176" s="965"/>
      <c r="B176" s="971" t="s">
        <v>645</v>
      </c>
      <c r="C176" s="960" t="s">
        <v>324</v>
      </c>
      <c r="D176" s="961"/>
      <c r="E176" s="961"/>
      <c r="F176" s="961"/>
      <c r="G176" s="345">
        <v>351</v>
      </c>
    </row>
    <row r="177" spans="1:7" x14ac:dyDescent="0.25">
      <c r="A177" s="965"/>
      <c r="B177" s="971"/>
      <c r="C177" s="960"/>
      <c r="D177" s="961"/>
      <c r="E177" s="961"/>
      <c r="F177" s="961"/>
      <c r="G177" s="346">
        <v>0</v>
      </c>
    </row>
    <row r="178" spans="1:7" x14ac:dyDescent="0.25">
      <c r="A178" s="965"/>
      <c r="B178" s="971"/>
      <c r="C178" s="960"/>
      <c r="D178" s="961"/>
      <c r="E178" s="961"/>
      <c r="F178" s="961"/>
      <c r="G178" s="347">
        <f>SUM(G176:G177)</f>
        <v>351</v>
      </c>
    </row>
    <row r="179" spans="1:7" x14ac:dyDescent="0.25">
      <c r="A179" s="281"/>
      <c r="B179" s="285"/>
      <c r="C179" s="285"/>
      <c r="D179" s="363"/>
      <c r="E179" s="363"/>
      <c r="F179" s="363"/>
      <c r="G179" s="364"/>
    </row>
    <row r="180" spans="1:7" ht="12.75" customHeight="1" x14ac:dyDescent="0.25">
      <c r="A180" s="965" t="s">
        <v>819</v>
      </c>
      <c r="B180" s="77" t="s">
        <v>472</v>
      </c>
      <c r="C180" s="365"/>
      <c r="D180" s="365"/>
      <c r="E180" s="365"/>
      <c r="F180" s="365"/>
      <c r="G180" s="365"/>
    </row>
    <row r="181" spans="1:7" ht="26.4" customHeight="1" x14ac:dyDescent="0.25">
      <c r="A181" s="965"/>
      <c r="B181" s="949" t="s">
        <v>749</v>
      </c>
      <c r="C181" s="949"/>
      <c r="D181" s="949"/>
      <c r="E181" s="949"/>
      <c r="F181" s="949"/>
      <c r="G181" s="949"/>
    </row>
    <row r="182" spans="1:7" x14ac:dyDescent="0.25">
      <c r="A182" s="245"/>
      <c r="B182" s="901"/>
      <c r="C182" s="901"/>
      <c r="D182" s="901"/>
      <c r="E182" s="901"/>
      <c r="F182" s="901"/>
      <c r="G182" s="901"/>
    </row>
    <row r="183" spans="1:7" x14ac:dyDescent="0.25">
      <c r="A183" s="1005" t="s">
        <v>818</v>
      </c>
      <c r="B183" s="898" t="s">
        <v>356</v>
      </c>
      <c r="C183" s="928"/>
      <c r="D183" s="928"/>
      <c r="E183" s="928"/>
      <c r="F183" s="928"/>
      <c r="G183" s="928"/>
    </row>
    <row r="184" spans="1:7" ht="39.6" customHeight="1" x14ac:dyDescent="0.25">
      <c r="A184" s="1005"/>
      <c r="B184" s="949" t="s">
        <v>750</v>
      </c>
      <c r="C184" s="949"/>
      <c r="D184" s="949"/>
      <c r="E184" s="949"/>
      <c r="F184" s="949"/>
      <c r="G184" s="949"/>
    </row>
    <row r="185" spans="1:7" x14ac:dyDescent="0.25">
      <c r="A185" s="238"/>
      <c r="B185" s="900"/>
      <c r="C185" s="900"/>
      <c r="D185" s="900"/>
      <c r="E185" s="900"/>
      <c r="F185" s="900"/>
      <c r="G185" s="900"/>
    </row>
    <row r="186" spans="1:7" x14ac:dyDescent="0.25">
      <c r="A186" s="236"/>
      <c r="B186" s="1017" t="s">
        <v>71</v>
      </c>
      <c r="C186" s="1017"/>
      <c r="D186" s="1017"/>
      <c r="E186" s="1017"/>
      <c r="F186" s="1017"/>
      <c r="G186" s="1017"/>
    </row>
    <row r="187" spans="1:7" ht="39.6" customHeight="1" x14ac:dyDescent="0.25">
      <c r="A187" s="965"/>
      <c r="B187" s="1006" t="s">
        <v>515</v>
      </c>
      <c r="C187" s="1006"/>
      <c r="D187" s="1006"/>
      <c r="E187" s="1006"/>
      <c r="F187" s="1006"/>
      <c r="G187" s="1006"/>
    </row>
    <row r="188" spans="1:7" x14ac:dyDescent="0.25">
      <c r="A188" s="965"/>
      <c r="B188" s="366"/>
      <c r="C188" s="367"/>
      <c r="D188" s="367"/>
      <c r="E188" s="367"/>
      <c r="F188" s="367"/>
      <c r="G188" s="367"/>
    </row>
    <row r="189" spans="1:7" x14ac:dyDescent="0.25">
      <c r="A189" s="965" t="s">
        <v>818</v>
      </c>
      <c r="B189" s="368" t="s">
        <v>477</v>
      </c>
      <c r="C189" s="367"/>
      <c r="D189" s="367"/>
      <c r="E189" s="367"/>
      <c r="F189" s="367"/>
      <c r="G189" s="367"/>
    </row>
    <row r="190" spans="1:7" ht="12.75" customHeight="1" x14ac:dyDescent="0.25">
      <c r="A190" s="965"/>
      <c r="B190" s="348"/>
      <c r="C190" s="348"/>
      <c r="D190" s="348"/>
      <c r="E190" s="348"/>
      <c r="F190" s="348"/>
      <c r="G190" s="349" t="s">
        <v>351</v>
      </c>
    </row>
    <row r="191" spans="1:7" x14ac:dyDescent="0.25">
      <c r="A191" s="965"/>
      <c r="B191" s="348" t="s">
        <v>729</v>
      </c>
      <c r="C191" s="964" t="s">
        <v>508</v>
      </c>
      <c r="D191" s="964"/>
      <c r="E191" s="964"/>
      <c r="F191" s="964"/>
      <c r="G191" s="350" t="s">
        <v>336</v>
      </c>
    </row>
    <row r="192" spans="1:7" x14ac:dyDescent="0.25">
      <c r="A192" s="965"/>
      <c r="B192" s="348"/>
      <c r="C192" s="348"/>
      <c r="D192" s="348"/>
      <c r="E192" s="348"/>
      <c r="F192" s="348"/>
      <c r="G192" s="351" t="s">
        <v>352</v>
      </c>
    </row>
    <row r="193" spans="1:7" x14ac:dyDescent="0.25">
      <c r="A193" s="965"/>
      <c r="B193" s="352"/>
      <c r="C193" s="352"/>
      <c r="D193" s="352"/>
      <c r="E193" s="352"/>
      <c r="F193" s="352"/>
      <c r="G193" s="351" t="s">
        <v>353</v>
      </c>
    </row>
    <row r="194" spans="1:7" x14ac:dyDescent="0.25">
      <c r="A194" s="965"/>
      <c r="B194" s="971" t="s">
        <v>35</v>
      </c>
      <c r="C194" s="960" t="s">
        <v>36</v>
      </c>
      <c r="D194" s="960"/>
      <c r="E194" s="960"/>
      <c r="F194" s="960"/>
      <c r="G194" s="345">
        <v>554</v>
      </c>
    </row>
    <row r="195" spans="1:7" x14ac:dyDescent="0.25">
      <c r="A195" s="965"/>
      <c r="B195" s="971"/>
      <c r="C195" s="960"/>
      <c r="D195" s="960"/>
      <c r="E195" s="960"/>
      <c r="F195" s="960"/>
      <c r="G195" s="346">
        <v>0</v>
      </c>
    </row>
    <row r="196" spans="1:7" ht="26.4" customHeight="1" x14ac:dyDescent="0.25">
      <c r="A196" s="965"/>
      <c r="B196" s="971"/>
      <c r="C196" s="960"/>
      <c r="D196" s="960"/>
      <c r="E196" s="960"/>
      <c r="F196" s="960"/>
      <c r="G196" s="347">
        <f>SUM(G194:G195)</f>
        <v>554</v>
      </c>
    </row>
    <row r="197" spans="1:7" x14ac:dyDescent="0.25">
      <c r="A197" s="965"/>
      <c r="B197" s="971" t="s">
        <v>646</v>
      </c>
      <c r="C197" s="960" t="s">
        <v>530</v>
      </c>
      <c r="D197" s="961"/>
      <c r="E197" s="961"/>
      <c r="F197" s="961"/>
      <c r="G197" s="345">
        <v>2358</v>
      </c>
    </row>
    <row r="198" spans="1:7" x14ac:dyDescent="0.25">
      <c r="A198" s="965"/>
      <c r="B198" s="971"/>
      <c r="C198" s="960"/>
      <c r="D198" s="961"/>
      <c r="E198" s="961"/>
      <c r="F198" s="961"/>
      <c r="G198" s="346">
        <v>-697</v>
      </c>
    </row>
    <row r="199" spans="1:7" ht="92.4" customHeight="1" x14ac:dyDescent="0.25">
      <c r="A199" s="965"/>
      <c r="B199" s="971"/>
      <c r="C199" s="960"/>
      <c r="D199" s="961"/>
      <c r="E199" s="961"/>
      <c r="F199" s="961"/>
      <c r="G199" s="347">
        <f>SUM(G197:G198)</f>
        <v>1661</v>
      </c>
    </row>
    <row r="200" spans="1:7" x14ac:dyDescent="0.25">
      <c r="A200" s="965"/>
      <c r="B200" s="971" t="s">
        <v>647</v>
      </c>
      <c r="C200" s="960" t="s">
        <v>531</v>
      </c>
      <c r="D200" s="961"/>
      <c r="E200" s="961"/>
      <c r="F200" s="961"/>
      <c r="G200" s="345">
        <v>3964</v>
      </c>
    </row>
    <row r="201" spans="1:7" x14ac:dyDescent="0.25">
      <c r="A201" s="965"/>
      <c r="B201" s="971"/>
      <c r="C201" s="960"/>
      <c r="D201" s="961"/>
      <c r="E201" s="961"/>
      <c r="F201" s="961"/>
      <c r="G201" s="346">
        <v>0</v>
      </c>
    </row>
    <row r="202" spans="1:7" ht="79.2" customHeight="1" x14ac:dyDescent="0.25">
      <c r="A202" s="965"/>
      <c r="B202" s="971"/>
      <c r="C202" s="960"/>
      <c r="D202" s="961"/>
      <c r="E202" s="961"/>
      <c r="F202" s="961"/>
      <c r="G202" s="347">
        <f>SUM(G200:G201)</f>
        <v>3964</v>
      </c>
    </row>
    <row r="203" spans="1:7" x14ac:dyDescent="0.25">
      <c r="A203" s="965"/>
      <c r="B203" s="971" t="s">
        <v>153</v>
      </c>
      <c r="C203" s="960" t="s">
        <v>154</v>
      </c>
      <c r="D203" s="961"/>
      <c r="E203" s="961"/>
      <c r="F203" s="961"/>
      <c r="G203" s="345">
        <v>511</v>
      </c>
    </row>
    <row r="204" spans="1:7" x14ac:dyDescent="0.25">
      <c r="A204" s="965"/>
      <c r="B204" s="971"/>
      <c r="C204" s="960"/>
      <c r="D204" s="961"/>
      <c r="E204" s="961"/>
      <c r="F204" s="961"/>
      <c r="G204" s="346">
        <v>0</v>
      </c>
    </row>
    <row r="205" spans="1:7" ht="52.95" customHeight="1" x14ac:dyDescent="0.25">
      <c r="A205" s="965"/>
      <c r="B205" s="971"/>
      <c r="C205" s="960"/>
      <c r="D205" s="961"/>
      <c r="E205" s="961"/>
      <c r="F205" s="961"/>
      <c r="G205" s="347">
        <f>SUM(G203:G204)</f>
        <v>511</v>
      </c>
    </row>
    <row r="206" spans="1:7" x14ac:dyDescent="0.25">
      <c r="A206" s="965"/>
      <c r="B206" s="971" t="s">
        <v>155</v>
      </c>
      <c r="C206" s="960" t="s">
        <v>214</v>
      </c>
      <c r="D206" s="961"/>
      <c r="E206" s="961"/>
      <c r="F206" s="961"/>
      <c r="G206" s="345">
        <v>985</v>
      </c>
    </row>
    <row r="207" spans="1:7" x14ac:dyDescent="0.25">
      <c r="A207" s="965"/>
      <c r="B207" s="971"/>
      <c r="C207" s="960"/>
      <c r="D207" s="961"/>
      <c r="E207" s="961"/>
      <c r="F207" s="961"/>
      <c r="G207" s="346">
        <v>0</v>
      </c>
    </row>
    <row r="208" spans="1:7" ht="39.6" customHeight="1" x14ac:dyDescent="0.25">
      <c r="A208" s="965"/>
      <c r="B208" s="971"/>
      <c r="C208" s="960"/>
      <c r="D208" s="961"/>
      <c r="E208" s="961"/>
      <c r="F208" s="961"/>
      <c r="G208" s="347">
        <f>SUM(G206:G207)</f>
        <v>985</v>
      </c>
    </row>
    <row r="209" spans="1:7" x14ac:dyDescent="0.25">
      <c r="A209" s="965"/>
      <c r="B209" s="971" t="s">
        <v>648</v>
      </c>
      <c r="C209" s="960" t="s">
        <v>532</v>
      </c>
      <c r="D209" s="961"/>
      <c r="E209" s="961"/>
      <c r="F209" s="961"/>
      <c r="G209" s="345">
        <v>6596</v>
      </c>
    </row>
    <row r="210" spans="1:7" x14ac:dyDescent="0.25">
      <c r="A210" s="965"/>
      <c r="B210" s="971"/>
      <c r="C210" s="960"/>
      <c r="D210" s="961"/>
      <c r="E210" s="961"/>
      <c r="F210" s="961"/>
      <c r="G210" s="346">
        <v>-212</v>
      </c>
    </row>
    <row r="211" spans="1:7" ht="39.6" customHeight="1" x14ac:dyDescent="0.25">
      <c r="A211" s="965"/>
      <c r="B211" s="971"/>
      <c r="C211" s="960"/>
      <c r="D211" s="961"/>
      <c r="E211" s="961"/>
      <c r="F211" s="961"/>
      <c r="G211" s="347">
        <f>SUM(G209:G210)</f>
        <v>6384</v>
      </c>
    </row>
    <row r="212" spans="1:7" ht="12.75" customHeight="1" x14ac:dyDescent="0.25">
      <c r="A212" s="965"/>
      <c r="B212" s="754"/>
      <c r="C212" s="754"/>
      <c r="D212" s="754"/>
      <c r="E212" s="754"/>
      <c r="F212" s="754"/>
      <c r="G212" s="349" t="s">
        <v>351</v>
      </c>
    </row>
    <row r="213" spans="1:7" ht="12.75" customHeight="1" x14ac:dyDescent="0.25">
      <c r="A213" s="965"/>
      <c r="B213" s="754" t="s">
        <v>729</v>
      </c>
      <c r="C213" s="964" t="s">
        <v>508</v>
      </c>
      <c r="D213" s="964"/>
      <c r="E213" s="964"/>
      <c r="F213" s="964"/>
      <c r="G213" s="350" t="s">
        <v>336</v>
      </c>
    </row>
    <row r="214" spans="1:7" x14ac:dyDescent="0.25">
      <c r="A214" s="965"/>
      <c r="B214" s="754"/>
      <c r="C214" s="754"/>
      <c r="D214" s="754"/>
      <c r="E214" s="754"/>
      <c r="F214" s="754"/>
      <c r="G214" s="351" t="s">
        <v>352</v>
      </c>
    </row>
    <row r="215" spans="1:7" x14ac:dyDescent="0.25">
      <c r="A215" s="965"/>
      <c r="B215" s="352"/>
      <c r="C215" s="352"/>
      <c r="D215" s="352"/>
      <c r="E215" s="352"/>
      <c r="F215" s="352"/>
      <c r="G215" s="351" t="s">
        <v>353</v>
      </c>
    </row>
    <row r="216" spans="1:7" x14ac:dyDescent="0.25">
      <c r="A216" s="965"/>
      <c r="B216" s="971" t="s">
        <v>649</v>
      </c>
      <c r="C216" s="960" t="s">
        <v>533</v>
      </c>
      <c r="D216" s="961"/>
      <c r="E216" s="961"/>
      <c r="F216" s="961"/>
      <c r="G216" s="345">
        <v>3406</v>
      </c>
    </row>
    <row r="217" spans="1:7" x14ac:dyDescent="0.25">
      <c r="A217" s="965"/>
      <c r="B217" s="971"/>
      <c r="C217" s="960"/>
      <c r="D217" s="961"/>
      <c r="E217" s="961"/>
      <c r="F217" s="961"/>
      <c r="G217" s="346">
        <v>-1380</v>
      </c>
    </row>
    <row r="218" spans="1:7" x14ac:dyDescent="0.25">
      <c r="A218" s="965"/>
      <c r="B218" s="971"/>
      <c r="C218" s="960"/>
      <c r="D218" s="961"/>
      <c r="E218" s="961"/>
      <c r="F218" s="961"/>
      <c r="G218" s="347">
        <f>SUM(G216:G217)</f>
        <v>2026</v>
      </c>
    </row>
    <row r="219" spans="1:7" x14ac:dyDescent="0.25">
      <c r="A219" s="965"/>
      <c r="B219" s="971" t="s">
        <v>650</v>
      </c>
      <c r="C219" s="960" t="s">
        <v>215</v>
      </c>
      <c r="D219" s="961"/>
      <c r="E219" s="961"/>
      <c r="F219" s="961"/>
      <c r="G219" s="345">
        <v>396</v>
      </c>
    </row>
    <row r="220" spans="1:7" x14ac:dyDescent="0.25">
      <c r="A220" s="965"/>
      <c r="B220" s="971"/>
      <c r="C220" s="960"/>
      <c r="D220" s="961"/>
      <c r="E220" s="961"/>
      <c r="F220" s="961"/>
      <c r="G220" s="346">
        <v>-36</v>
      </c>
    </row>
    <row r="221" spans="1:7" ht="39.6" customHeight="1" x14ac:dyDescent="0.25">
      <c r="A221" s="965"/>
      <c r="B221" s="971"/>
      <c r="C221" s="960"/>
      <c r="D221" s="961"/>
      <c r="E221" s="961"/>
      <c r="F221" s="961"/>
      <c r="G221" s="347">
        <f>SUM(G219:G220)</f>
        <v>360</v>
      </c>
    </row>
    <row r="222" spans="1:7" x14ac:dyDescent="0.25">
      <c r="A222" s="965"/>
      <c r="B222" s="971" t="s">
        <v>651</v>
      </c>
      <c r="C222" s="960" t="s">
        <v>534</v>
      </c>
      <c r="D222" s="961"/>
      <c r="E222" s="961"/>
      <c r="F222" s="961"/>
      <c r="G222" s="345">
        <v>1425</v>
      </c>
    </row>
    <row r="223" spans="1:7" x14ac:dyDescent="0.25">
      <c r="A223" s="965"/>
      <c r="B223" s="971"/>
      <c r="C223" s="960"/>
      <c r="D223" s="961"/>
      <c r="E223" s="961"/>
      <c r="F223" s="961"/>
      <c r="G223" s="346">
        <v>-652</v>
      </c>
    </row>
    <row r="224" spans="1:7" ht="92.4" customHeight="1" x14ac:dyDescent="0.25">
      <c r="A224" s="965"/>
      <c r="B224" s="971"/>
      <c r="C224" s="960"/>
      <c r="D224" s="961"/>
      <c r="E224" s="961"/>
      <c r="F224" s="961"/>
      <c r="G224" s="347">
        <f>SUM(G222:G223)</f>
        <v>773</v>
      </c>
    </row>
    <row r="225" spans="1:7" x14ac:dyDescent="0.25">
      <c r="A225" s="965"/>
      <c r="B225" s="971" t="s">
        <v>652</v>
      </c>
      <c r="C225" s="960" t="s">
        <v>329</v>
      </c>
      <c r="D225" s="961"/>
      <c r="E225" s="961"/>
      <c r="F225" s="961"/>
      <c r="G225" s="345">
        <v>624</v>
      </c>
    </row>
    <row r="226" spans="1:7" x14ac:dyDescent="0.25">
      <c r="A226" s="965"/>
      <c r="B226" s="971"/>
      <c r="C226" s="960"/>
      <c r="D226" s="961"/>
      <c r="E226" s="961"/>
      <c r="F226" s="961"/>
      <c r="G226" s="346">
        <v>-340</v>
      </c>
    </row>
    <row r="227" spans="1:7" ht="26.4" customHeight="1" x14ac:dyDescent="0.25">
      <c r="A227" s="965"/>
      <c r="B227" s="971"/>
      <c r="C227" s="960"/>
      <c r="D227" s="961"/>
      <c r="E227" s="961"/>
      <c r="F227" s="961"/>
      <c r="G227" s="347">
        <f>SUM(G225:G226)</f>
        <v>284</v>
      </c>
    </row>
    <row r="228" spans="1:7" x14ac:dyDescent="0.25">
      <c r="A228" s="965"/>
      <c r="B228" s="971" t="s">
        <v>330</v>
      </c>
      <c r="C228" s="960" t="s">
        <v>535</v>
      </c>
      <c r="D228" s="961"/>
      <c r="E228" s="961"/>
      <c r="F228" s="961"/>
      <c r="G228" s="345">
        <v>746</v>
      </c>
    </row>
    <row r="229" spans="1:7" x14ac:dyDescent="0.25">
      <c r="A229" s="965"/>
      <c r="B229" s="971"/>
      <c r="C229" s="960"/>
      <c r="D229" s="961"/>
      <c r="E229" s="961"/>
      <c r="F229" s="961"/>
      <c r="G229" s="346">
        <v>-314</v>
      </c>
    </row>
    <row r="230" spans="1:7" ht="39.6" customHeight="1" x14ac:dyDescent="0.25">
      <c r="A230" s="965"/>
      <c r="B230" s="971"/>
      <c r="C230" s="960"/>
      <c r="D230" s="961"/>
      <c r="E230" s="961"/>
      <c r="F230" s="961"/>
      <c r="G230" s="347">
        <f>SUM(G228:G229)</f>
        <v>432</v>
      </c>
    </row>
    <row r="231" spans="1:7" x14ac:dyDescent="0.25">
      <c r="A231" s="281"/>
      <c r="B231" s="285"/>
      <c r="C231" s="286"/>
      <c r="D231" s="359"/>
      <c r="E231" s="359"/>
      <c r="F231" s="359"/>
      <c r="G231" s="357"/>
    </row>
    <row r="232" spans="1:7" ht="12.75" customHeight="1" x14ac:dyDescent="0.25">
      <c r="A232" s="965" t="s">
        <v>819</v>
      </c>
      <c r="B232" s="241" t="s">
        <v>472</v>
      </c>
      <c r="C232" s="3"/>
      <c r="D232" s="3"/>
      <c r="E232" s="3"/>
      <c r="F232" s="3"/>
      <c r="G232" s="3"/>
    </row>
    <row r="233" spans="1:7" ht="39.6" customHeight="1" x14ac:dyDescent="0.25">
      <c r="A233" s="965"/>
      <c r="B233" s="1021" t="s">
        <v>1093</v>
      </c>
      <c r="C233" s="1021"/>
      <c r="D233" s="1021"/>
      <c r="E233" s="1021"/>
      <c r="F233" s="1021"/>
      <c r="G233" s="1021"/>
    </row>
    <row r="234" spans="1:7" ht="39.6" customHeight="1" x14ac:dyDescent="0.25">
      <c r="A234" s="965"/>
      <c r="B234" s="966" t="s">
        <v>1094</v>
      </c>
      <c r="C234" s="966"/>
      <c r="D234" s="966"/>
      <c r="E234" s="966"/>
      <c r="F234" s="966"/>
      <c r="G234" s="966"/>
    </row>
    <row r="235" spans="1:7" x14ac:dyDescent="0.25">
      <c r="A235" s="245"/>
      <c r="B235" s="248"/>
      <c r="C235" s="3"/>
      <c r="D235" s="3"/>
      <c r="E235" s="3"/>
      <c r="F235" s="3"/>
      <c r="G235" s="3"/>
    </row>
    <row r="236" spans="1:7" x14ac:dyDescent="0.25">
      <c r="A236" s="1005" t="s">
        <v>818</v>
      </c>
      <c r="B236" s="241" t="s">
        <v>356</v>
      </c>
      <c r="C236" s="3"/>
      <c r="D236" s="3"/>
      <c r="E236" s="3"/>
      <c r="F236" s="3"/>
      <c r="G236" s="3"/>
    </row>
    <row r="237" spans="1:7" ht="39.6" customHeight="1" x14ac:dyDescent="0.25">
      <c r="A237" s="1005"/>
      <c r="B237" s="949" t="s">
        <v>1044</v>
      </c>
      <c r="C237" s="949"/>
      <c r="D237" s="949"/>
      <c r="E237" s="949"/>
      <c r="F237" s="949"/>
      <c r="G237" s="949"/>
    </row>
    <row r="238" spans="1:7" ht="66" customHeight="1" x14ac:dyDescent="0.25">
      <c r="A238" s="1005"/>
      <c r="B238" s="966" t="s">
        <v>751</v>
      </c>
      <c r="C238" s="966"/>
      <c r="D238" s="966"/>
      <c r="E238" s="966"/>
      <c r="F238" s="966"/>
      <c r="G238" s="966"/>
    </row>
    <row r="239" spans="1:7" ht="39.6" customHeight="1" x14ac:dyDescent="0.25">
      <c r="A239" s="1005"/>
      <c r="B239" s="966" t="s">
        <v>1096</v>
      </c>
      <c r="C239" s="966"/>
      <c r="D239" s="966"/>
      <c r="E239" s="966"/>
      <c r="F239" s="966"/>
      <c r="G239" s="966"/>
    </row>
    <row r="240" spans="1:7" ht="66" customHeight="1" x14ac:dyDescent="0.25">
      <c r="A240" s="1005"/>
      <c r="B240" s="966" t="s">
        <v>752</v>
      </c>
      <c r="C240" s="966"/>
      <c r="D240" s="966"/>
      <c r="E240" s="966"/>
      <c r="F240" s="966"/>
      <c r="G240" s="966"/>
    </row>
    <row r="241" spans="1:7" ht="52.95" customHeight="1" x14ac:dyDescent="0.25">
      <c r="A241" s="1005"/>
      <c r="B241" s="966" t="s">
        <v>753</v>
      </c>
      <c r="C241" s="966"/>
      <c r="D241" s="966"/>
      <c r="E241" s="966"/>
      <c r="F241" s="966"/>
      <c r="G241" s="966"/>
    </row>
    <row r="242" spans="1:7" ht="79.2" customHeight="1" x14ac:dyDescent="0.25">
      <c r="A242" s="1005"/>
      <c r="B242" s="966" t="s">
        <v>754</v>
      </c>
      <c r="C242" s="966"/>
      <c r="D242" s="966"/>
      <c r="E242" s="966"/>
      <c r="F242" s="966"/>
      <c r="G242" s="966"/>
    </row>
    <row r="243" spans="1:7" x14ac:dyDescent="0.25">
      <c r="A243" s="225"/>
      <c r="B243" s="231"/>
      <c r="C243" s="231"/>
      <c r="D243" s="231"/>
      <c r="E243" s="231"/>
      <c r="F243" s="231"/>
      <c r="G243" s="231"/>
    </row>
    <row r="244" spans="1:7" x14ac:dyDescent="0.25">
      <c r="A244" s="225"/>
      <c r="B244" s="994" t="s">
        <v>497</v>
      </c>
      <c r="C244" s="994"/>
      <c r="D244" s="994"/>
      <c r="E244" s="994"/>
      <c r="F244" s="994"/>
      <c r="G244" s="994"/>
    </row>
    <row r="245" spans="1:7" x14ac:dyDescent="0.25">
      <c r="A245" s="225"/>
      <c r="B245" s="233" t="s">
        <v>755</v>
      </c>
      <c r="C245" s="229"/>
      <c r="D245" s="229"/>
      <c r="E245" s="229"/>
      <c r="F245" s="229"/>
      <c r="G245" s="229"/>
    </row>
    <row r="246" spans="1:7" s="234" customFormat="1" ht="27.6" customHeight="1" thickBot="1" x14ac:dyDescent="0.3">
      <c r="A246" s="965" t="s">
        <v>820</v>
      </c>
      <c r="B246" s="356" t="s">
        <v>337</v>
      </c>
      <c r="C246" s="356" t="s">
        <v>424</v>
      </c>
      <c r="D246" s="969" t="s">
        <v>357</v>
      </c>
      <c r="E246" s="1012"/>
      <c r="F246" s="969" t="s">
        <v>473</v>
      </c>
      <c r="G246" s="1013"/>
    </row>
    <row r="247" spans="1:7" ht="93" customHeight="1" thickBot="1" x14ac:dyDescent="0.3">
      <c r="A247" s="965"/>
      <c r="B247" s="232" t="s">
        <v>308</v>
      </c>
      <c r="C247" s="232" t="s">
        <v>516</v>
      </c>
      <c r="D247" s="970" t="s">
        <v>661</v>
      </c>
      <c r="E247" s="970"/>
      <c r="F247" s="970" t="s">
        <v>662</v>
      </c>
      <c r="G247" s="1011"/>
    </row>
    <row r="248" spans="1:7" ht="88.5" customHeight="1" thickBot="1" x14ac:dyDescent="0.3">
      <c r="A248" s="965"/>
      <c r="B248" s="232" t="s">
        <v>525</v>
      </c>
      <c r="C248" s="232" t="s">
        <v>529</v>
      </c>
      <c r="D248" s="970" t="s">
        <v>517</v>
      </c>
      <c r="E248" s="970"/>
      <c r="F248" s="970" t="s">
        <v>521</v>
      </c>
      <c r="G248" s="1011"/>
    </row>
    <row r="249" spans="1:7" ht="69" customHeight="1" thickBot="1" x14ac:dyDescent="0.3">
      <c r="A249" s="965"/>
      <c r="B249" s="235" t="s">
        <v>30</v>
      </c>
      <c r="C249" s="235" t="s">
        <v>475</v>
      </c>
      <c r="D249" s="963" t="s">
        <v>518</v>
      </c>
      <c r="E249" s="963"/>
      <c r="F249" s="963" t="s">
        <v>522</v>
      </c>
      <c r="G249" s="1018"/>
    </row>
    <row r="250" spans="1:7" ht="55.5" customHeight="1" thickBot="1" x14ac:dyDescent="0.3">
      <c r="A250" s="965"/>
      <c r="B250" s="237" t="s">
        <v>526</v>
      </c>
      <c r="C250" s="237" t="s">
        <v>527</v>
      </c>
      <c r="D250" s="962" t="s">
        <v>519</v>
      </c>
      <c r="E250" s="1019"/>
      <c r="F250" s="979" t="s">
        <v>523</v>
      </c>
      <c r="G250" s="1009"/>
    </row>
    <row r="251" spans="1:7" ht="117.75" customHeight="1" thickBot="1" x14ac:dyDescent="0.3">
      <c r="A251" s="965"/>
      <c r="B251" s="232" t="s">
        <v>528</v>
      </c>
      <c r="C251" s="232" t="s">
        <v>527</v>
      </c>
      <c r="D251" s="970" t="s">
        <v>520</v>
      </c>
      <c r="E251" s="1010"/>
      <c r="F251" s="970" t="s">
        <v>524</v>
      </c>
      <c r="G251" s="1011"/>
    </row>
    <row r="252" spans="1:7" ht="13.8" x14ac:dyDescent="0.25">
      <c r="A252" s="278"/>
      <c r="B252" s="1022"/>
      <c r="C252" s="1022"/>
      <c r="D252" s="1022"/>
      <c r="E252" s="1022"/>
      <c r="F252" s="1022"/>
      <c r="G252" s="1022"/>
    </row>
    <row r="253" spans="1:7" x14ac:dyDescent="0.25">
      <c r="A253" s="278"/>
      <c r="B253" s="994" t="s">
        <v>1046</v>
      </c>
      <c r="C253" s="994"/>
      <c r="D253" s="994"/>
      <c r="E253" s="994"/>
      <c r="F253" s="994"/>
      <c r="G253" s="994"/>
    </row>
    <row r="254" spans="1:7" ht="105.6" customHeight="1" x14ac:dyDescent="0.25">
      <c r="A254" s="278"/>
      <c r="B254" s="981" t="s">
        <v>1095</v>
      </c>
      <c r="C254" s="981"/>
      <c r="D254" s="981"/>
      <c r="E254" s="981"/>
      <c r="F254" s="981"/>
      <c r="G254" s="981"/>
    </row>
    <row r="255" spans="1:7" x14ac:dyDescent="0.25">
      <c r="A255" s="1007"/>
      <c r="B255" s="221"/>
      <c r="C255" s="221"/>
      <c r="D255" s="221"/>
      <c r="E255" s="221"/>
      <c r="F255" s="221"/>
      <c r="G255" s="221"/>
    </row>
    <row r="256" spans="1:7" ht="12.75" customHeight="1" x14ac:dyDescent="0.25">
      <c r="A256" s="1007"/>
      <c r="B256" s="994" t="s">
        <v>1045</v>
      </c>
      <c r="C256" s="994"/>
      <c r="D256" s="994"/>
      <c r="E256" s="994"/>
      <c r="F256" s="994"/>
      <c r="G256" s="994"/>
    </row>
    <row r="257" spans="1:7" x14ac:dyDescent="0.25">
      <c r="A257" s="1007"/>
      <c r="B257" s="351"/>
      <c r="C257" s="351"/>
      <c r="D257" s="351"/>
      <c r="E257" s="351" t="s">
        <v>352</v>
      </c>
      <c r="F257" s="351"/>
      <c r="G257" s="351"/>
    </row>
    <row r="258" spans="1:7" x14ac:dyDescent="0.25">
      <c r="A258" s="1007"/>
      <c r="B258" s="351"/>
      <c r="C258" s="351"/>
      <c r="D258" s="351"/>
      <c r="E258" s="351" t="s">
        <v>358</v>
      </c>
      <c r="F258" s="351" t="s">
        <v>351</v>
      </c>
      <c r="G258" s="351" t="s">
        <v>297</v>
      </c>
    </row>
    <row r="259" spans="1:7" x14ac:dyDescent="0.25">
      <c r="A259" s="1007"/>
      <c r="B259" s="351"/>
      <c r="C259" s="351"/>
      <c r="D259" s="351"/>
      <c r="E259" s="351" t="s">
        <v>298</v>
      </c>
      <c r="F259" s="351" t="s">
        <v>298</v>
      </c>
      <c r="G259" s="351" t="s">
        <v>298</v>
      </c>
    </row>
    <row r="260" spans="1:7" x14ac:dyDescent="0.25">
      <c r="A260" s="1007"/>
      <c r="B260" s="1006" t="s">
        <v>537</v>
      </c>
      <c r="C260" s="1008"/>
      <c r="E260" s="369">
        <f t="shared" ref="E260:E265" si="0">+F260-G260</f>
        <v>3302</v>
      </c>
      <c r="F260" s="369">
        <v>3552</v>
      </c>
      <c r="G260" s="369">
        <v>250</v>
      </c>
    </row>
    <row r="261" spans="1:7" ht="12.75" customHeight="1" x14ac:dyDescent="0.25">
      <c r="A261" s="1007"/>
      <c r="B261" s="1020" t="s">
        <v>1345</v>
      </c>
      <c r="C261" s="1020"/>
      <c r="D261" s="1020"/>
      <c r="E261" s="369">
        <f t="shared" si="0"/>
        <v>12455</v>
      </c>
      <c r="F261" s="370">
        <v>25079</v>
      </c>
      <c r="G261" s="370">
        <v>12624</v>
      </c>
    </row>
    <row r="262" spans="1:7" ht="12.75" customHeight="1" x14ac:dyDescent="0.25">
      <c r="A262" s="1007"/>
      <c r="B262" s="1008" t="s">
        <v>87</v>
      </c>
      <c r="C262" s="1008"/>
      <c r="E262" s="369">
        <f t="shared" si="0"/>
        <v>537</v>
      </c>
      <c r="F262" s="370">
        <v>537</v>
      </c>
      <c r="G262" s="370">
        <v>0</v>
      </c>
    </row>
    <row r="263" spans="1:7" ht="12.75" customHeight="1" x14ac:dyDescent="0.25">
      <c r="A263" s="1007"/>
      <c r="B263" s="1008" t="s">
        <v>299</v>
      </c>
      <c r="C263" s="1008"/>
      <c r="E263" s="369">
        <f t="shared" si="0"/>
        <v>5656</v>
      </c>
      <c r="F263" s="370">
        <v>9902</v>
      </c>
      <c r="G263" s="370">
        <v>4246</v>
      </c>
    </row>
    <row r="264" spans="1:7" ht="12.75" customHeight="1" x14ac:dyDescent="0.25">
      <c r="A264" s="1007"/>
      <c r="B264" s="1008" t="s">
        <v>300</v>
      </c>
      <c r="C264" s="1008"/>
      <c r="E264" s="369">
        <f t="shared" si="0"/>
        <v>2720</v>
      </c>
      <c r="F264" s="370">
        <v>2720</v>
      </c>
      <c r="G264" s="370">
        <v>0</v>
      </c>
    </row>
    <row r="265" spans="1:7" x14ac:dyDescent="0.25">
      <c r="A265" s="1007"/>
      <c r="B265" s="1004" t="s">
        <v>301</v>
      </c>
      <c r="C265" s="1004"/>
      <c r="D265" s="915"/>
      <c r="E265" s="369">
        <f t="shared" si="0"/>
        <v>17934</v>
      </c>
      <c r="F265" s="369">
        <v>21565</v>
      </c>
      <c r="G265" s="369">
        <v>3631</v>
      </c>
    </row>
    <row r="266" spans="1:7" ht="12.75" customHeight="1" x14ac:dyDescent="0.25">
      <c r="A266" s="1007"/>
      <c r="B266" s="1015" t="s">
        <v>536</v>
      </c>
      <c r="C266" s="1015"/>
      <c r="D266" s="915"/>
      <c r="E266" s="371">
        <f>SUM(E260:E265)</f>
        <v>42604</v>
      </c>
      <c r="F266" s="371">
        <f>SUM(F260:F265)</f>
        <v>63355</v>
      </c>
      <c r="G266" s="371">
        <f>SUM(G260:G265)</f>
        <v>20751</v>
      </c>
    </row>
    <row r="267" spans="1:7" ht="12.75" customHeight="1" x14ac:dyDescent="0.25">
      <c r="A267" s="1007"/>
      <c r="B267" s="960" t="s">
        <v>302</v>
      </c>
      <c r="C267" s="960"/>
      <c r="D267" s="915"/>
      <c r="E267" s="372">
        <v>6085</v>
      </c>
      <c r="F267" s="373"/>
      <c r="G267" s="370"/>
    </row>
    <row r="268" spans="1:7" ht="12.75" customHeight="1" x14ac:dyDescent="0.25">
      <c r="A268" s="1007"/>
      <c r="B268" s="1016" t="s">
        <v>138</v>
      </c>
      <c r="C268" s="1016"/>
      <c r="E268" s="374">
        <f>SUM(E266:E267)</f>
        <v>48689</v>
      </c>
      <c r="F268" s="375"/>
      <c r="G268" s="374"/>
    </row>
    <row r="269" spans="1:7" ht="12.75" customHeight="1" x14ac:dyDescent="0.25">
      <c r="A269" s="1007"/>
      <c r="B269" s="1017" t="s">
        <v>385</v>
      </c>
      <c r="C269" s="1017"/>
      <c r="E269" s="374"/>
      <c r="F269" s="375"/>
      <c r="G269" s="374"/>
    </row>
    <row r="270" spans="1:7" ht="12.75" customHeight="1" x14ac:dyDescent="0.25">
      <c r="A270" s="1007"/>
      <c r="B270" s="1008" t="s">
        <v>139</v>
      </c>
      <c r="C270" s="1008"/>
      <c r="E270" s="370">
        <v>43457</v>
      </c>
      <c r="F270" s="373"/>
      <c r="G270" s="370"/>
    </row>
    <row r="271" spans="1:7" x14ac:dyDescent="0.25">
      <c r="A271" s="1007"/>
      <c r="B271" s="1008" t="s">
        <v>140</v>
      </c>
      <c r="C271" s="1008"/>
      <c r="E271" s="370">
        <v>6277</v>
      </c>
      <c r="F271" s="373"/>
      <c r="G271" s="370"/>
    </row>
    <row r="272" spans="1:7" x14ac:dyDescent="0.25">
      <c r="A272" s="1007"/>
      <c r="B272" s="1014" t="s">
        <v>141</v>
      </c>
      <c r="C272" s="1014"/>
      <c r="D272" s="915"/>
      <c r="E272" s="376">
        <f>SUM(E270:E271)</f>
        <v>49734</v>
      </c>
      <c r="F272" s="375"/>
      <c r="G272" s="374"/>
    </row>
    <row r="273" spans="1:7" ht="12.75" customHeight="1" x14ac:dyDescent="0.25">
      <c r="A273" s="1007"/>
      <c r="B273" s="1015" t="s">
        <v>142</v>
      </c>
      <c r="C273" s="1015"/>
      <c r="E273" s="371">
        <f>+E272-E268</f>
        <v>1045</v>
      </c>
      <c r="F273" s="375"/>
      <c r="G273" s="374"/>
    </row>
    <row r="274" spans="1:7" ht="12.75" customHeight="1" x14ac:dyDescent="0.25"/>
  </sheetData>
  <mergeCells count="206">
    <mergeCell ref="A232:A234"/>
    <mergeCell ref="A236:A242"/>
    <mergeCell ref="A119:A120"/>
    <mergeCell ref="A122:A125"/>
    <mergeCell ref="B160:G160"/>
    <mergeCell ref="B163:G163"/>
    <mergeCell ref="A161:A163"/>
    <mergeCell ref="B181:G181"/>
    <mergeCell ref="B184:G184"/>
    <mergeCell ref="A183:A184"/>
    <mergeCell ref="A180:A181"/>
    <mergeCell ref="B165:G165"/>
    <mergeCell ref="A166:A167"/>
    <mergeCell ref="B166:G166"/>
    <mergeCell ref="A142:A157"/>
    <mergeCell ref="B142:B144"/>
    <mergeCell ref="C142:F144"/>
    <mergeCell ref="B149:B151"/>
    <mergeCell ref="C149:F151"/>
    <mergeCell ref="B152:B154"/>
    <mergeCell ref="C152:F154"/>
    <mergeCell ref="B155:B157"/>
    <mergeCell ref="C155:F157"/>
    <mergeCell ref="A128:A141"/>
    <mergeCell ref="A126:A127"/>
    <mergeCell ref="A81:A85"/>
    <mergeCell ref="A86:A89"/>
    <mergeCell ref="B120:G120"/>
    <mergeCell ref="D105:E105"/>
    <mergeCell ref="F105:G105"/>
    <mergeCell ref="B107:G107"/>
    <mergeCell ref="A108:A109"/>
    <mergeCell ref="B108:G108"/>
    <mergeCell ref="A110:A117"/>
    <mergeCell ref="C112:F112"/>
    <mergeCell ref="B115:B117"/>
    <mergeCell ref="C115:F117"/>
    <mergeCell ref="A91:A105"/>
    <mergeCell ref="B91:G91"/>
    <mergeCell ref="D93:E93"/>
    <mergeCell ref="F93:G93"/>
    <mergeCell ref="B94:B97"/>
    <mergeCell ref="C94:C97"/>
    <mergeCell ref="D102:E102"/>
    <mergeCell ref="D94:E97"/>
    <mergeCell ref="F94:G97"/>
    <mergeCell ref="D98:E98"/>
    <mergeCell ref="B82:G82"/>
    <mergeCell ref="B233:G233"/>
    <mergeCell ref="B234:G234"/>
    <mergeCell ref="B237:G237"/>
    <mergeCell ref="B238:G238"/>
    <mergeCell ref="B239:G239"/>
    <mergeCell ref="B252:G252"/>
    <mergeCell ref="B253:G253"/>
    <mergeCell ref="C146:F146"/>
    <mergeCell ref="B240:G240"/>
    <mergeCell ref="B241:G241"/>
    <mergeCell ref="C213:F213"/>
    <mergeCell ref="B206:B208"/>
    <mergeCell ref="C206:F208"/>
    <mergeCell ref="B209:B211"/>
    <mergeCell ref="B186:G186"/>
    <mergeCell ref="B228:B230"/>
    <mergeCell ref="C228:F230"/>
    <mergeCell ref="B273:C273"/>
    <mergeCell ref="B266:C266"/>
    <mergeCell ref="B267:C267"/>
    <mergeCell ref="B268:C268"/>
    <mergeCell ref="B269:C269"/>
    <mergeCell ref="B270:C270"/>
    <mergeCell ref="B271:C271"/>
    <mergeCell ref="D249:E249"/>
    <mergeCell ref="B254:G254"/>
    <mergeCell ref="F249:G249"/>
    <mergeCell ref="D250:E250"/>
    <mergeCell ref="B261:D261"/>
    <mergeCell ref="A255:A273"/>
    <mergeCell ref="B256:G256"/>
    <mergeCell ref="B260:C260"/>
    <mergeCell ref="B262:C262"/>
    <mergeCell ref="B263:C263"/>
    <mergeCell ref="B264:C264"/>
    <mergeCell ref="B265:C265"/>
    <mergeCell ref="A222:A230"/>
    <mergeCell ref="B222:B224"/>
    <mergeCell ref="C222:F224"/>
    <mergeCell ref="B225:B227"/>
    <mergeCell ref="C225:F227"/>
    <mergeCell ref="F250:G250"/>
    <mergeCell ref="D251:E251"/>
    <mergeCell ref="F251:G251"/>
    <mergeCell ref="B244:G244"/>
    <mergeCell ref="A246:A251"/>
    <mergeCell ref="D246:E246"/>
    <mergeCell ref="F246:G246"/>
    <mergeCell ref="D247:E247"/>
    <mergeCell ref="F247:G247"/>
    <mergeCell ref="D248:E248"/>
    <mergeCell ref="F248:G248"/>
    <mergeCell ref="B272:C272"/>
    <mergeCell ref="A187:A188"/>
    <mergeCell ref="B187:G187"/>
    <mergeCell ref="A168:A178"/>
    <mergeCell ref="C170:F170"/>
    <mergeCell ref="B173:B175"/>
    <mergeCell ref="C173:F175"/>
    <mergeCell ref="B176:B178"/>
    <mergeCell ref="C176:F178"/>
    <mergeCell ref="C209:F211"/>
    <mergeCell ref="A189:A196"/>
    <mergeCell ref="C191:F191"/>
    <mergeCell ref="B194:B196"/>
    <mergeCell ref="C194:F196"/>
    <mergeCell ref="A197:A221"/>
    <mergeCell ref="B197:B199"/>
    <mergeCell ref="C197:F199"/>
    <mergeCell ref="B200:B202"/>
    <mergeCell ref="C200:F202"/>
    <mergeCell ref="B216:B218"/>
    <mergeCell ref="C216:F218"/>
    <mergeCell ref="B219:B221"/>
    <mergeCell ref="C219:F221"/>
    <mergeCell ref="B203:B205"/>
    <mergeCell ref="C203:F205"/>
    <mergeCell ref="B69:B71"/>
    <mergeCell ref="C69:F71"/>
    <mergeCell ref="A13:A22"/>
    <mergeCell ref="C14:F14"/>
    <mergeCell ref="B17:B19"/>
    <mergeCell ref="C17:F19"/>
    <mergeCell ref="B20:B22"/>
    <mergeCell ref="B29:G29"/>
    <mergeCell ref="A23:A26"/>
    <mergeCell ref="B24:G25"/>
    <mergeCell ref="A27:A30"/>
    <mergeCell ref="B28:G28"/>
    <mergeCell ref="C20:F22"/>
    <mergeCell ref="C72:F74"/>
    <mergeCell ref="B75:B77"/>
    <mergeCell ref="F103:G104"/>
    <mergeCell ref="F102:G102"/>
    <mergeCell ref="F101:G101"/>
    <mergeCell ref="B3:G3"/>
    <mergeCell ref="B5:G5"/>
    <mergeCell ref="B7:G7"/>
    <mergeCell ref="B9:G9"/>
    <mergeCell ref="B10:G10"/>
    <mergeCell ref="C50:F52"/>
    <mergeCell ref="B53:B55"/>
    <mergeCell ref="C53:F55"/>
    <mergeCell ref="B60:B62"/>
    <mergeCell ref="C60:F62"/>
    <mergeCell ref="B36:G36"/>
    <mergeCell ref="B37:G37"/>
    <mergeCell ref="C41:F41"/>
    <mergeCell ref="B44:B46"/>
    <mergeCell ref="C44:F46"/>
    <mergeCell ref="B47:B49"/>
    <mergeCell ref="C47:F49"/>
    <mergeCell ref="B50:B52"/>
    <mergeCell ref="C57:F57"/>
    <mergeCell ref="B133:B135"/>
    <mergeCell ref="C133:F135"/>
    <mergeCell ref="B136:B138"/>
    <mergeCell ref="C136:F138"/>
    <mergeCell ref="B139:B141"/>
    <mergeCell ref="C139:F141"/>
    <mergeCell ref="B125:G125"/>
    <mergeCell ref="B123:G123"/>
    <mergeCell ref="B86:G86"/>
    <mergeCell ref="B87:G87"/>
    <mergeCell ref="B88:G88"/>
    <mergeCell ref="B89:G89"/>
    <mergeCell ref="F98:G98"/>
    <mergeCell ref="B126:G126"/>
    <mergeCell ref="B99:B100"/>
    <mergeCell ref="C99:C100"/>
    <mergeCell ref="D99:E100"/>
    <mergeCell ref="F99:G100"/>
    <mergeCell ref="D101:E101"/>
    <mergeCell ref="D103:E104"/>
    <mergeCell ref="C75:F77"/>
    <mergeCell ref="B103:B104"/>
    <mergeCell ref="C103:C104"/>
    <mergeCell ref="C130:F130"/>
    <mergeCell ref="A159:A160"/>
    <mergeCell ref="B242:G242"/>
    <mergeCell ref="A31:A34"/>
    <mergeCell ref="B31:G31"/>
    <mergeCell ref="B32:G32"/>
    <mergeCell ref="D33:E33"/>
    <mergeCell ref="F33:G33"/>
    <mergeCell ref="D34:E34"/>
    <mergeCell ref="F34:G34"/>
    <mergeCell ref="B63:B65"/>
    <mergeCell ref="C63:F65"/>
    <mergeCell ref="A36:A37"/>
    <mergeCell ref="A39:A68"/>
    <mergeCell ref="B66:B68"/>
    <mergeCell ref="C66:F68"/>
    <mergeCell ref="B78:B80"/>
    <mergeCell ref="C78:F80"/>
    <mergeCell ref="A69:A80"/>
    <mergeCell ref="B72:B74"/>
    <mergeCell ref="B83:G83"/>
  </mergeCells>
  <pageMargins left="0.74803149606299213" right="0.74803149606299213" top="0.98425196850393704" bottom="0.98425196850393704" header="0.51181102362204722" footer="0.51181102362204722"/>
  <pageSetup paperSize="9" firstPageNumber="11" fitToHeight="0" orientation="portrait" useFirstPageNumber="1" r:id="rId1"/>
  <headerFooter alignWithMargins="0">
    <oddFooter>&amp;L&amp;8Chartered Accountants Australia New Zealand&amp;C&amp;9&amp;P&amp;R&amp;8VICTORIAN CITY COUNCIL</oddFooter>
  </headerFooter>
  <rowBreaks count="6" manualBreakCount="6">
    <brk id="22" min="1" max="6" man="1"/>
    <brk id="55" min="1" max="6" man="1"/>
    <brk id="84" min="1" max="6" man="1"/>
    <brk id="144" min="1" max="6" man="1"/>
    <brk id="211" min="1" max="6" man="1"/>
    <brk id="252" min="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5"/>
  <sheetViews>
    <sheetView view="pageBreakPreview" zoomScaleNormal="100" zoomScaleSheetLayoutView="100" workbookViewId="0">
      <selection activeCell="A40" sqref="A40"/>
    </sheetView>
  </sheetViews>
  <sheetFormatPr defaultColWidth="9.109375" defaultRowHeight="13.2" x14ac:dyDescent="0.25"/>
  <cols>
    <col min="1" max="1" width="9.88671875" style="206" customWidth="1"/>
    <col min="2" max="2" width="33.88671875" style="68" customWidth="1"/>
    <col min="3" max="7" width="10.6640625" style="56" customWidth="1"/>
    <col min="8" max="8" width="0.5546875" style="47" customWidth="1"/>
    <col min="9" max="9" width="10" style="47" customWidth="1"/>
    <col min="10" max="10" width="10.6640625" style="47" bestFit="1" customWidth="1"/>
    <col min="11" max="16384" width="9.109375" style="47"/>
  </cols>
  <sheetData>
    <row r="1" spans="1:7" ht="17.399999999999999" x14ac:dyDescent="0.25">
      <c r="A1" s="1005" t="s">
        <v>822</v>
      </c>
      <c r="B1" s="377" t="s">
        <v>851</v>
      </c>
      <c r="C1" s="52"/>
      <c r="D1" s="52"/>
      <c r="E1" s="52"/>
      <c r="F1" s="52"/>
      <c r="G1" s="52"/>
    </row>
    <row r="2" spans="1:7" s="63" customFormat="1" x14ac:dyDescent="0.25">
      <c r="A2" s="1029"/>
      <c r="B2" s="83"/>
      <c r="C2" s="83"/>
      <c r="D2" s="83"/>
      <c r="E2" s="83"/>
      <c r="F2" s="83"/>
      <c r="G2" s="83"/>
    </row>
    <row r="3" spans="1:7" s="63" customFormat="1" ht="25.5" customHeight="1" x14ac:dyDescent="0.25">
      <c r="A3" s="1029"/>
      <c r="B3" s="944" t="s">
        <v>1097</v>
      </c>
      <c r="C3" s="944"/>
      <c r="D3" s="944"/>
      <c r="E3" s="944"/>
      <c r="F3" s="944"/>
      <c r="G3" s="944"/>
    </row>
    <row r="4" spans="1:7" s="63" customFormat="1" x14ac:dyDescent="0.25">
      <c r="A4" s="1029"/>
      <c r="B4" s="272"/>
      <c r="C4" s="272"/>
      <c r="D4" s="272"/>
      <c r="E4" s="272"/>
      <c r="F4" s="272"/>
      <c r="G4" s="272"/>
    </row>
    <row r="5" spans="1:7" s="63" customFormat="1" ht="25.5" customHeight="1" x14ac:dyDescent="0.25">
      <c r="A5" s="1029"/>
      <c r="B5" s="944" t="s">
        <v>821</v>
      </c>
      <c r="C5" s="942"/>
      <c r="D5" s="942"/>
      <c r="E5" s="942"/>
      <c r="F5" s="942"/>
      <c r="G5" s="942"/>
    </row>
    <row r="6" spans="1:7" s="63" customFormat="1" x14ac:dyDescent="0.25">
      <c r="A6" s="1029"/>
      <c r="B6" s="280"/>
      <c r="C6" s="272"/>
      <c r="D6" s="272"/>
      <c r="E6" s="272"/>
      <c r="F6" s="272"/>
      <c r="G6" s="272"/>
    </row>
    <row r="7" spans="1:7" s="63" customFormat="1" x14ac:dyDescent="0.25">
      <c r="A7" s="1029"/>
      <c r="B7" s="942" t="s">
        <v>990</v>
      </c>
      <c r="C7" s="942"/>
      <c r="D7" s="942"/>
      <c r="E7" s="942"/>
      <c r="F7" s="942"/>
      <c r="G7" s="942"/>
    </row>
    <row r="8" spans="1:7" s="63" customFormat="1" x14ac:dyDescent="0.25">
      <c r="A8" s="1029"/>
      <c r="B8" s="942" t="s">
        <v>852</v>
      </c>
      <c r="C8" s="942"/>
      <c r="D8" s="942"/>
      <c r="E8" s="942"/>
      <c r="F8" s="942"/>
      <c r="G8" s="942"/>
    </row>
    <row r="9" spans="1:7" s="63" customFormat="1" x14ac:dyDescent="0.25">
      <c r="A9" s="1029"/>
      <c r="B9" s="942" t="s">
        <v>853</v>
      </c>
      <c r="C9" s="942"/>
      <c r="D9" s="942"/>
      <c r="E9" s="942"/>
      <c r="F9" s="942"/>
      <c r="G9" s="942"/>
    </row>
    <row r="10" spans="1:7" s="63" customFormat="1" x14ac:dyDescent="0.25">
      <c r="A10" s="1032"/>
      <c r="B10" s="942" t="s">
        <v>854</v>
      </c>
      <c r="C10" s="942"/>
      <c r="D10" s="942"/>
      <c r="E10" s="942"/>
      <c r="F10" s="942"/>
      <c r="G10" s="942"/>
    </row>
    <row r="11" spans="1:7" s="63" customFormat="1" x14ac:dyDescent="0.25">
      <c r="A11" s="1029"/>
      <c r="B11" s="942" t="s">
        <v>855</v>
      </c>
      <c r="C11" s="942"/>
      <c r="D11" s="942"/>
      <c r="E11" s="942"/>
      <c r="F11" s="942"/>
      <c r="G11" s="942"/>
    </row>
    <row r="12" spans="1:7" s="63" customFormat="1" x14ac:dyDescent="0.25">
      <c r="A12" s="1029"/>
      <c r="B12" s="83" t="s">
        <v>995</v>
      </c>
      <c r="C12" s="83"/>
      <c r="D12" s="83"/>
      <c r="E12" s="83"/>
      <c r="F12" s="83"/>
      <c r="G12" s="83"/>
    </row>
    <row r="13" spans="1:7" s="63" customFormat="1" x14ac:dyDescent="0.25">
      <c r="A13" s="1029"/>
      <c r="B13" s="83"/>
      <c r="C13" s="83"/>
      <c r="D13" s="83"/>
      <c r="E13" s="83"/>
      <c r="F13" s="83"/>
      <c r="G13" s="83"/>
    </row>
    <row r="14" spans="1:7" s="63" customFormat="1" x14ac:dyDescent="0.25">
      <c r="A14" s="1029"/>
      <c r="B14" s="83"/>
      <c r="C14" s="83"/>
      <c r="D14" s="83"/>
      <c r="E14" s="83"/>
      <c r="F14" s="83"/>
      <c r="G14" s="83"/>
    </row>
    <row r="15" spans="1:7" s="63" customFormat="1" x14ac:dyDescent="0.25">
      <c r="A15" s="1029"/>
      <c r="B15" s="83"/>
      <c r="C15" s="83"/>
      <c r="D15" s="83"/>
      <c r="E15" s="83"/>
      <c r="F15" s="83"/>
      <c r="G15" s="83"/>
    </row>
    <row r="16" spans="1:7" s="63" customFormat="1" x14ac:dyDescent="0.25">
      <c r="A16" s="1029"/>
      <c r="B16" s="83"/>
      <c r="C16" s="83"/>
      <c r="D16" s="83"/>
      <c r="E16" s="83"/>
      <c r="F16" s="83"/>
      <c r="G16" s="83"/>
    </row>
    <row r="17" spans="1:7" s="63" customFormat="1" x14ac:dyDescent="0.25">
      <c r="A17" s="1029"/>
      <c r="B17" s="83"/>
      <c r="C17" s="83"/>
      <c r="D17" s="83"/>
      <c r="E17" s="83"/>
      <c r="F17" s="83"/>
      <c r="G17" s="83"/>
    </row>
    <row r="18" spans="1:7" s="63" customFormat="1" x14ac:dyDescent="0.25">
      <c r="A18" s="1029"/>
      <c r="B18" s="83"/>
      <c r="C18" s="83"/>
      <c r="D18" s="83"/>
      <c r="E18" s="83"/>
      <c r="F18" s="83"/>
      <c r="G18" s="83"/>
    </row>
    <row r="19" spans="1:7" s="63" customFormat="1" x14ac:dyDescent="0.25">
      <c r="A19" s="1029"/>
      <c r="B19" s="83"/>
      <c r="C19" s="83"/>
      <c r="D19" s="83"/>
      <c r="E19" s="83"/>
      <c r="F19" s="83"/>
      <c r="G19" s="83"/>
    </row>
    <row r="20" spans="1:7" s="63" customFormat="1" x14ac:dyDescent="0.25">
      <c r="A20" s="1032"/>
      <c r="B20" s="83"/>
      <c r="C20" s="83"/>
      <c r="D20" s="83"/>
      <c r="E20" s="83"/>
      <c r="F20" s="83"/>
      <c r="G20" s="83"/>
    </row>
    <row r="21" spans="1:7" s="63" customFormat="1" x14ac:dyDescent="0.25">
      <c r="A21" s="1029"/>
      <c r="B21" s="83"/>
      <c r="C21" s="83"/>
      <c r="D21" s="83"/>
      <c r="E21" s="83"/>
      <c r="F21" s="83"/>
      <c r="G21" s="83"/>
    </row>
    <row r="22" spans="1:7" s="63" customFormat="1" x14ac:dyDescent="0.25">
      <c r="A22" s="1029"/>
      <c r="B22" s="83"/>
      <c r="C22" s="83"/>
      <c r="D22" s="83"/>
      <c r="E22" s="83"/>
      <c r="F22" s="83"/>
      <c r="G22" s="83"/>
    </row>
    <row r="23" spans="1:7" s="63" customFormat="1" x14ac:dyDescent="0.25">
      <c r="A23" s="1029"/>
      <c r="B23" s="83"/>
      <c r="C23" s="83"/>
      <c r="D23" s="83"/>
      <c r="E23" s="83"/>
      <c r="F23" s="83"/>
      <c r="G23" s="83"/>
    </row>
    <row r="24" spans="1:7" s="63" customFormat="1" x14ac:dyDescent="0.25">
      <c r="A24" s="1029"/>
      <c r="B24" s="83"/>
      <c r="C24" s="83"/>
      <c r="D24" s="83"/>
      <c r="E24" s="83"/>
      <c r="F24" s="83"/>
      <c r="G24" s="83"/>
    </row>
    <row r="25" spans="1:7" ht="13.8" x14ac:dyDescent="0.25">
      <c r="A25" s="1029"/>
      <c r="B25" s="53"/>
      <c r="C25" s="54"/>
      <c r="D25" s="54"/>
      <c r="E25" s="54"/>
      <c r="F25" s="54"/>
      <c r="G25" s="54"/>
    </row>
    <row r="26" spans="1:7" ht="13.8" x14ac:dyDescent="0.25">
      <c r="A26" s="1029"/>
      <c r="B26" s="53"/>
      <c r="C26" s="54"/>
      <c r="D26" s="54"/>
      <c r="E26" s="54"/>
      <c r="F26" s="54"/>
      <c r="G26" s="54"/>
    </row>
    <row r="27" spans="1:7" ht="13.8" x14ac:dyDescent="0.25">
      <c r="A27" s="1029"/>
      <c r="B27" s="53"/>
      <c r="C27" s="54"/>
      <c r="D27" s="54"/>
      <c r="E27" s="54"/>
      <c r="F27" s="54"/>
      <c r="G27" s="54"/>
    </row>
    <row r="28" spans="1:7" ht="13.8" x14ac:dyDescent="0.25">
      <c r="A28" s="1029"/>
      <c r="B28" s="53"/>
      <c r="C28" s="54"/>
      <c r="D28" s="54"/>
      <c r="E28" s="54"/>
      <c r="F28" s="54"/>
      <c r="G28" s="54"/>
    </row>
    <row r="29" spans="1:7" ht="13.8" x14ac:dyDescent="0.25">
      <c r="A29" s="1029"/>
      <c r="B29" s="53"/>
      <c r="C29" s="54"/>
      <c r="D29" s="54"/>
      <c r="E29" s="54"/>
      <c r="F29" s="54"/>
      <c r="G29" s="54"/>
    </row>
    <row r="30" spans="1:7" ht="13.8" x14ac:dyDescent="0.25">
      <c r="A30" s="1029"/>
      <c r="B30" s="53"/>
      <c r="C30" s="54"/>
      <c r="D30" s="54"/>
      <c r="E30" s="54"/>
      <c r="F30" s="54"/>
      <c r="G30" s="54"/>
    </row>
    <row r="31" spans="1:7" ht="13.8" x14ac:dyDescent="0.25">
      <c r="A31" s="1029"/>
      <c r="B31" s="53"/>
      <c r="C31" s="54"/>
      <c r="D31" s="54"/>
      <c r="E31" s="54"/>
      <c r="F31" s="54"/>
      <c r="G31" s="54"/>
    </row>
    <row r="32" spans="1:7" ht="13.8" x14ac:dyDescent="0.25">
      <c r="A32" s="1029"/>
      <c r="B32" s="53"/>
      <c r="C32" s="54"/>
      <c r="D32" s="54"/>
      <c r="E32" s="54"/>
      <c r="F32" s="54"/>
      <c r="G32" s="54"/>
    </row>
    <row r="33" spans="1:15" x14ac:dyDescent="0.25">
      <c r="A33" s="1029"/>
      <c r="B33" s="54"/>
      <c r="C33" s="54"/>
      <c r="D33" s="54"/>
      <c r="E33" s="54"/>
      <c r="F33" s="54"/>
      <c r="G33" s="54"/>
    </row>
    <row r="34" spans="1:15" ht="15.6" x14ac:dyDescent="0.25">
      <c r="A34" s="1029"/>
      <c r="B34" s="76" t="s">
        <v>996</v>
      </c>
      <c r="C34" s="54"/>
      <c r="D34" s="54"/>
      <c r="E34" s="54"/>
      <c r="F34" s="54"/>
      <c r="G34" s="54"/>
    </row>
    <row r="35" spans="1:15" ht="13.8" x14ac:dyDescent="0.25">
      <c r="A35" s="1029"/>
      <c r="B35" s="53" t="s">
        <v>1062</v>
      </c>
      <c r="C35" s="54"/>
      <c r="D35" s="54"/>
      <c r="E35" s="54"/>
      <c r="F35" s="54"/>
      <c r="G35" s="54"/>
    </row>
    <row r="36" spans="1:15" ht="13.8" x14ac:dyDescent="0.25">
      <c r="A36" s="1029"/>
      <c r="B36" s="53"/>
      <c r="C36" s="54"/>
      <c r="D36" s="54"/>
      <c r="E36" s="54"/>
      <c r="F36" s="54"/>
      <c r="G36" s="54"/>
    </row>
    <row r="37" spans="1:15" x14ac:dyDescent="0.25">
      <c r="A37" s="1029"/>
      <c r="B37" s="379"/>
      <c r="C37" s="379" t="s">
        <v>331</v>
      </c>
      <c r="D37" s="1030" t="s">
        <v>313</v>
      </c>
      <c r="E37" s="1031" t="s">
        <v>144</v>
      </c>
      <c r="F37" s="1031"/>
      <c r="G37" s="1031"/>
    </row>
    <row r="38" spans="1:15" x14ac:dyDescent="0.25">
      <c r="A38" s="1029"/>
      <c r="B38" s="379"/>
      <c r="C38" s="379" t="s">
        <v>332</v>
      </c>
      <c r="D38" s="1030"/>
      <c r="E38" s="1028" t="s">
        <v>145</v>
      </c>
      <c r="F38" s="1028"/>
      <c r="G38" s="1028"/>
    </row>
    <row r="39" spans="1:15" x14ac:dyDescent="0.25">
      <c r="A39" s="1029"/>
      <c r="B39" s="380"/>
      <c r="C39" s="380" t="s">
        <v>408</v>
      </c>
      <c r="D39" s="381" t="s">
        <v>409</v>
      </c>
      <c r="E39" s="382" t="s">
        <v>558</v>
      </c>
      <c r="F39" s="382" t="s">
        <v>734</v>
      </c>
      <c r="G39" s="382" t="s">
        <v>1063</v>
      </c>
    </row>
    <row r="40" spans="1:15" x14ac:dyDescent="0.25">
      <c r="A40" s="1029"/>
      <c r="B40" s="379"/>
      <c r="C40" s="379" t="s">
        <v>298</v>
      </c>
      <c r="D40" s="381" t="s">
        <v>298</v>
      </c>
      <c r="E40" s="381" t="s">
        <v>298</v>
      </c>
      <c r="F40" s="381" t="s">
        <v>298</v>
      </c>
      <c r="G40" s="381" t="s">
        <v>298</v>
      </c>
    </row>
    <row r="41" spans="1:15" x14ac:dyDescent="0.25">
      <c r="A41" s="1029"/>
      <c r="B41" s="77" t="s">
        <v>369</v>
      </c>
      <c r="C41" s="77"/>
      <c r="D41" s="383"/>
      <c r="E41" s="58"/>
      <c r="F41" s="58"/>
      <c r="G41" s="58"/>
    </row>
    <row r="42" spans="1:15" x14ac:dyDescent="0.25">
      <c r="A42" s="1029"/>
      <c r="B42" s="58" t="s">
        <v>73</v>
      </c>
      <c r="C42" s="384">
        <f>41195+490</f>
        <v>41685</v>
      </c>
      <c r="D42" s="385">
        <v>43457</v>
      </c>
      <c r="E42" s="384">
        <v>46273</v>
      </c>
      <c r="F42" s="384">
        <v>48725</v>
      </c>
      <c r="G42" s="384">
        <v>51263</v>
      </c>
      <c r="J42" s="79"/>
      <c r="K42" s="399">
        <f>D42-C42</f>
        <v>1772</v>
      </c>
      <c r="L42" s="936">
        <f>K42/C42</f>
        <v>4.2509295909799689E-2</v>
      </c>
    </row>
    <row r="43" spans="1:15" x14ac:dyDescent="0.25">
      <c r="A43" s="1029"/>
      <c r="B43" s="58" t="s">
        <v>74</v>
      </c>
      <c r="C43" s="384">
        <v>2445</v>
      </c>
      <c r="D43" s="385">
        <v>2690</v>
      </c>
      <c r="E43" s="384">
        <v>2818</v>
      </c>
      <c r="F43" s="384">
        <v>2785</v>
      </c>
      <c r="G43" s="384">
        <v>2834</v>
      </c>
      <c r="K43" s="409"/>
      <c r="L43" s="870"/>
      <c r="M43" s="871"/>
      <c r="N43" s="303"/>
      <c r="O43" s="303"/>
    </row>
    <row r="44" spans="1:15" x14ac:dyDescent="0.25">
      <c r="A44" s="1029"/>
      <c r="B44" s="58" t="s">
        <v>75</v>
      </c>
      <c r="C44" s="384">
        <f>7198-490</f>
        <v>6708</v>
      </c>
      <c r="D44" s="385">
        <v>7680</v>
      </c>
      <c r="E44" s="384">
        <v>7828</v>
      </c>
      <c r="F44" s="384">
        <v>8004</v>
      </c>
      <c r="G44" s="384">
        <v>8184</v>
      </c>
    </row>
    <row r="45" spans="1:15" x14ac:dyDescent="0.25">
      <c r="A45" s="1029"/>
      <c r="B45" s="163" t="s">
        <v>800</v>
      </c>
      <c r="C45" s="384">
        <f>13573+950</f>
        <v>14523</v>
      </c>
      <c r="D45" s="385">
        <f>12617+1000</f>
        <v>13617</v>
      </c>
      <c r="E45" s="384">
        <f>12554+1050</f>
        <v>13604</v>
      </c>
      <c r="F45" s="384">
        <f>12646+1100</f>
        <v>13746</v>
      </c>
      <c r="G45" s="384">
        <f>12837+1150</f>
        <v>13987</v>
      </c>
    </row>
    <row r="46" spans="1:15" x14ac:dyDescent="0.25">
      <c r="A46" s="1029"/>
      <c r="B46" s="163" t="s">
        <v>801</v>
      </c>
      <c r="C46" s="384">
        <f>810+2093</f>
        <v>2903</v>
      </c>
      <c r="D46" s="385">
        <f>830+5447</f>
        <v>6277</v>
      </c>
      <c r="E46" s="384">
        <f>850+8557</f>
        <v>9407</v>
      </c>
      <c r="F46" s="384">
        <f>870+824</f>
        <v>1694</v>
      </c>
      <c r="G46" s="384">
        <f>890+477</f>
        <v>1367</v>
      </c>
    </row>
    <row r="47" spans="1:15" x14ac:dyDescent="0.25">
      <c r="A47" s="1029"/>
      <c r="B47" s="163" t="s">
        <v>756</v>
      </c>
      <c r="C47" s="384">
        <v>661</v>
      </c>
      <c r="D47" s="385">
        <v>51</v>
      </c>
      <c r="E47" s="384">
        <v>471</v>
      </c>
      <c r="F47" s="384">
        <v>370</v>
      </c>
      <c r="G47" s="384">
        <v>350</v>
      </c>
      <c r="L47" s="399"/>
    </row>
    <row r="48" spans="1:15" x14ac:dyDescent="0.25">
      <c r="A48" s="1029"/>
      <c r="B48" s="163" t="s">
        <v>802</v>
      </c>
      <c r="C48" s="384">
        <v>0</v>
      </c>
      <c r="D48" s="385">
        <v>0</v>
      </c>
      <c r="E48" s="384">
        <v>0</v>
      </c>
      <c r="F48" s="384">
        <v>0</v>
      </c>
      <c r="G48" s="384">
        <v>0</v>
      </c>
    </row>
    <row r="49" spans="1:11" ht="26.4" x14ac:dyDescent="0.25">
      <c r="A49" s="1029"/>
      <c r="B49" s="163" t="s">
        <v>779</v>
      </c>
      <c r="C49" s="386">
        <v>823</v>
      </c>
      <c r="D49" s="385">
        <v>539</v>
      </c>
      <c r="E49" s="386">
        <v>479</v>
      </c>
      <c r="F49" s="386">
        <v>488</v>
      </c>
      <c r="G49" s="386">
        <v>497</v>
      </c>
    </row>
    <row r="50" spans="1:11" ht="26.4" x14ac:dyDescent="0.25">
      <c r="A50" s="1029"/>
      <c r="B50" s="55" t="s">
        <v>560</v>
      </c>
      <c r="C50" s="384">
        <v>0</v>
      </c>
      <c r="D50" s="385">
        <v>0</v>
      </c>
      <c r="E50" s="384">
        <v>0</v>
      </c>
      <c r="F50" s="384">
        <v>0</v>
      </c>
      <c r="G50" s="384">
        <v>0</v>
      </c>
    </row>
    <row r="51" spans="1:11" ht="26.4" x14ac:dyDescent="0.25">
      <c r="A51" s="1029"/>
      <c r="B51" s="203" t="s">
        <v>803</v>
      </c>
      <c r="C51" s="384">
        <v>0</v>
      </c>
      <c r="D51" s="385">
        <v>0</v>
      </c>
      <c r="E51" s="384">
        <v>0</v>
      </c>
      <c r="F51" s="384">
        <v>0</v>
      </c>
      <c r="G51" s="384">
        <v>0</v>
      </c>
    </row>
    <row r="52" spans="1:11" x14ac:dyDescent="0.25">
      <c r="A52" s="1029"/>
      <c r="B52" s="58" t="s">
        <v>371</v>
      </c>
      <c r="C52" s="384">
        <f>2823</f>
        <v>2823</v>
      </c>
      <c r="D52" s="385">
        <f>3263</f>
        <v>3263</v>
      </c>
      <c r="E52" s="384">
        <v>2734</v>
      </c>
      <c r="F52" s="384">
        <v>2782</v>
      </c>
      <c r="G52" s="384">
        <v>2830</v>
      </c>
    </row>
    <row r="53" spans="1:11" x14ac:dyDescent="0.25">
      <c r="A53" s="1029"/>
      <c r="B53" s="77" t="s">
        <v>372</v>
      </c>
      <c r="C53" s="387">
        <f>SUM(C42:C52)</f>
        <v>72571</v>
      </c>
      <c r="D53" s="388">
        <f t="shared" ref="D53:G53" si="0">SUM(D42:D52)</f>
        <v>77574</v>
      </c>
      <c r="E53" s="387">
        <f t="shared" si="0"/>
        <v>83614</v>
      </c>
      <c r="F53" s="387">
        <f t="shared" si="0"/>
        <v>78594</v>
      </c>
      <c r="G53" s="387">
        <f t="shared" si="0"/>
        <v>81312</v>
      </c>
    </row>
    <row r="54" spans="1:11" x14ac:dyDescent="0.25">
      <c r="A54" s="1029"/>
      <c r="B54" s="58"/>
      <c r="C54" s="384"/>
      <c r="D54" s="389"/>
      <c r="E54" s="384"/>
      <c r="F54" s="384"/>
      <c r="G54" s="384"/>
    </row>
    <row r="55" spans="1:11" x14ac:dyDescent="0.25">
      <c r="A55" s="1029"/>
      <c r="B55" s="77" t="s">
        <v>373</v>
      </c>
      <c r="C55" s="390"/>
      <c r="D55" s="391"/>
      <c r="E55" s="384"/>
      <c r="F55" s="384"/>
      <c r="G55" s="384"/>
    </row>
    <row r="56" spans="1:11" x14ac:dyDescent="0.25">
      <c r="A56" s="1029"/>
      <c r="B56" s="55" t="s">
        <v>410</v>
      </c>
      <c r="C56" s="384">
        <v>31541</v>
      </c>
      <c r="D56" s="391">
        <v>34091</v>
      </c>
      <c r="E56" s="384">
        <v>35367</v>
      </c>
      <c r="F56" s="384">
        <v>36655</v>
      </c>
      <c r="G56" s="384">
        <v>37711</v>
      </c>
    </row>
    <row r="57" spans="1:11" x14ac:dyDescent="0.25">
      <c r="A57" s="1029"/>
      <c r="B57" s="58" t="s">
        <v>177</v>
      </c>
      <c r="C57" s="384">
        <v>22937</v>
      </c>
      <c r="D57" s="391">
        <v>22107</v>
      </c>
      <c r="E57" s="384">
        <v>21847</v>
      </c>
      <c r="F57" s="384">
        <v>21999</v>
      </c>
      <c r="G57" s="384">
        <v>22810</v>
      </c>
    </row>
    <row r="58" spans="1:11" x14ac:dyDescent="0.25">
      <c r="A58" s="1029"/>
      <c r="B58" s="58" t="s">
        <v>178</v>
      </c>
      <c r="C58" s="384">
        <v>314</v>
      </c>
      <c r="D58" s="391">
        <v>340</v>
      </c>
      <c r="E58" s="384">
        <v>348</v>
      </c>
      <c r="F58" s="384">
        <v>356</v>
      </c>
      <c r="G58" s="384">
        <v>364</v>
      </c>
    </row>
    <row r="59" spans="1:11" x14ac:dyDescent="0.25">
      <c r="A59" s="1029"/>
      <c r="B59" s="58" t="s">
        <v>179</v>
      </c>
      <c r="C59" s="384">
        <v>14034</v>
      </c>
      <c r="D59" s="391">
        <v>14500</v>
      </c>
      <c r="E59" s="384">
        <v>15187</v>
      </c>
      <c r="F59" s="384">
        <v>15744</v>
      </c>
      <c r="G59" s="384">
        <v>16274</v>
      </c>
    </row>
    <row r="60" spans="1:11" x14ac:dyDescent="0.25">
      <c r="A60" s="1029"/>
      <c r="B60" s="163" t="s">
        <v>757</v>
      </c>
      <c r="C60" s="384">
        <v>380</v>
      </c>
      <c r="D60" s="391">
        <v>312</v>
      </c>
      <c r="E60" s="384">
        <v>247</v>
      </c>
      <c r="F60" s="384">
        <v>410</v>
      </c>
      <c r="G60" s="384">
        <v>340</v>
      </c>
    </row>
    <row r="61" spans="1:11" x14ac:dyDescent="0.25">
      <c r="A61" s="1029"/>
      <c r="B61" s="58" t="s">
        <v>181</v>
      </c>
      <c r="C61" s="384">
        <v>5287</v>
      </c>
      <c r="D61" s="385">
        <v>5179</v>
      </c>
      <c r="E61" s="384">
        <v>5220</v>
      </c>
      <c r="F61" s="384">
        <v>5184</v>
      </c>
      <c r="G61" s="384">
        <v>5383</v>
      </c>
      <c r="K61" s="200"/>
    </row>
    <row r="62" spans="1:11" x14ac:dyDescent="0.25">
      <c r="A62" s="1029"/>
      <c r="B62" s="77" t="s">
        <v>13</v>
      </c>
      <c r="C62" s="387">
        <f>SUM(C56:C61)</f>
        <v>74493</v>
      </c>
      <c r="D62" s="388">
        <f>SUM(D56:D61)</f>
        <v>76529</v>
      </c>
      <c r="E62" s="387">
        <f>SUM(E56:E61)</f>
        <v>78216</v>
      </c>
      <c r="F62" s="387">
        <f>SUM(F56:F61)</f>
        <v>80348</v>
      </c>
      <c r="G62" s="387">
        <f>SUM(G56:G61)</f>
        <v>82882</v>
      </c>
      <c r="J62" s="197"/>
      <c r="K62" s="200"/>
    </row>
    <row r="63" spans="1:11" s="197" customFormat="1" x14ac:dyDescent="0.25">
      <c r="A63" s="1029"/>
      <c r="B63" s="77"/>
      <c r="C63" s="387"/>
      <c r="D63" s="388"/>
      <c r="E63" s="387"/>
      <c r="F63" s="387"/>
      <c r="G63" s="387"/>
      <c r="K63" s="200"/>
    </row>
    <row r="64" spans="1:11" x14ac:dyDescent="0.25">
      <c r="A64" s="1029"/>
      <c r="B64" s="77" t="s">
        <v>422</v>
      </c>
      <c r="C64" s="387">
        <f>+C53-C62</f>
        <v>-1922</v>
      </c>
      <c r="D64" s="388">
        <f>+D53-D62</f>
        <v>1045</v>
      </c>
      <c r="E64" s="387">
        <f>+E53-E62</f>
        <v>5398</v>
      </c>
      <c r="F64" s="387">
        <f>+F53-F62</f>
        <v>-1754</v>
      </c>
      <c r="G64" s="387">
        <f>+G53-G62</f>
        <v>-1570</v>
      </c>
    </row>
    <row r="65" spans="1:13" x14ac:dyDescent="0.25">
      <c r="A65" s="1029"/>
      <c r="B65" s="58"/>
      <c r="C65" s="384"/>
      <c r="D65" s="391"/>
      <c r="E65" s="384"/>
      <c r="F65" s="384"/>
      <c r="G65" s="384"/>
    </row>
    <row r="66" spans="1:13" x14ac:dyDescent="0.25">
      <c r="A66" s="1029"/>
      <c r="B66" s="77" t="s">
        <v>4</v>
      </c>
      <c r="C66" s="384"/>
      <c r="D66" s="391"/>
      <c r="E66" s="384"/>
      <c r="F66" s="384"/>
      <c r="G66" s="384"/>
      <c r="I66" s="79"/>
      <c r="J66" s="79"/>
      <c r="K66" s="79"/>
      <c r="L66" s="79"/>
      <c r="M66" s="79"/>
    </row>
    <row r="67" spans="1:13" ht="26.4" x14ac:dyDescent="0.25">
      <c r="A67" s="1029"/>
      <c r="B67" s="82" t="s">
        <v>1346</v>
      </c>
      <c r="C67" s="384"/>
      <c r="D67" s="391"/>
      <c r="E67" s="384"/>
      <c r="F67" s="384"/>
      <c r="G67" s="384"/>
      <c r="I67" s="79"/>
      <c r="J67" s="79"/>
      <c r="K67" s="79"/>
      <c r="L67" s="79"/>
      <c r="M67" s="79"/>
    </row>
    <row r="68" spans="1:13" ht="26.4" x14ac:dyDescent="0.25">
      <c r="A68" s="1029"/>
      <c r="B68" s="42" t="s">
        <v>561</v>
      </c>
      <c r="C68" s="386">
        <v>0</v>
      </c>
      <c r="D68" s="385">
        <v>0</v>
      </c>
      <c r="E68" s="386">
        <v>0</v>
      </c>
      <c r="F68" s="386">
        <v>0</v>
      </c>
      <c r="G68" s="386">
        <v>0</v>
      </c>
      <c r="I68" s="79"/>
      <c r="J68" s="79"/>
      <c r="K68" s="79"/>
      <c r="L68" s="79"/>
      <c r="M68" s="79"/>
    </row>
    <row r="69" spans="1:13" s="197" customFormat="1" ht="26.4" x14ac:dyDescent="0.25">
      <c r="A69" s="1029"/>
      <c r="B69" s="198" t="s">
        <v>758</v>
      </c>
      <c r="C69" s="386">
        <v>0</v>
      </c>
      <c r="D69" s="385">
        <v>0</v>
      </c>
      <c r="E69" s="386">
        <v>0</v>
      </c>
      <c r="F69" s="386">
        <v>0</v>
      </c>
      <c r="G69" s="386">
        <v>0</v>
      </c>
      <c r="I69" s="79"/>
      <c r="J69" s="79"/>
      <c r="K69" s="79"/>
      <c r="L69" s="79"/>
      <c r="M69" s="79"/>
    </row>
    <row r="70" spans="1:13" ht="39.6" x14ac:dyDescent="0.25">
      <c r="A70" s="1029"/>
      <c r="B70" s="199" t="s">
        <v>759</v>
      </c>
      <c r="C70" s="386">
        <v>0</v>
      </c>
      <c r="D70" s="385">
        <v>0</v>
      </c>
      <c r="E70" s="386">
        <v>0</v>
      </c>
      <c r="F70" s="386">
        <v>0</v>
      </c>
      <c r="G70" s="386">
        <v>0</v>
      </c>
    </row>
    <row r="71" spans="1:13" ht="13.8" thickBot="1" x14ac:dyDescent="0.3">
      <c r="A71" s="1029"/>
      <c r="B71" s="77" t="s">
        <v>760</v>
      </c>
      <c r="C71" s="392">
        <f>+C67+C70+C64</f>
        <v>-1922</v>
      </c>
      <c r="D71" s="393">
        <f t="shared" ref="D71:G71" si="1">+D67+D70+D64</f>
        <v>1045</v>
      </c>
      <c r="E71" s="392">
        <f t="shared" si="1"/>
        <v>5398</v>
      </c>
      <c r="F71" s="392">
        <f t="shared" si="1"/>
        <v>-1754</v>
      </c>
      <c r="G71" s="392">
        <f t="shared" si="1"/>
        <v>-1570</v>
      </c>
      <c r="I71" s="79"/>
      <c r="J71" s="79"/>
      <c r="K71" s="79"/>
      <c r="L71" s="79"/>
      <c r="M71" s="79"/>
    </row>
    <row r="72" spans="1:13" ht="14.4" thickTop="1" x14ac:dyDescent="0.25">
      <c r="A72" s="1029"/>
      <c r="B72" s="53"/>
      <c r="C72" s="54"/>
      <c r="D72" s="54"/>
      <c r="E72" s="54"/>
      <c r="F72" s="54"/>
      <c r="G72" s="54"/>
    </row>
    <row r="73" spans="1:13" x14ac:dyDescent="0.25">
      <c r="A73" s="1029"/>
      <c r="B73" s="54"/>
      <c r="C73" s="54"/>
      <c r="D73" s="54"/>
      <c r="E73" s="54"/>
      <c r="F73" s="54"/>
      <c r="G73" s="54"/>
    </row>
    <row r="74" spans="1:13" ht="15.6" x14ac:dyDescent="0.25">
      <c r="A74" s="1029"/>
      <c r="B74" s="76" t="s">
        <v>997</v>
      </c>
      <c r="C74" s="54"/>
      <c r="D74" s="54"/>
      <c r="E74" s="54"/>
      <c r="F74" s="54"/>
      <c r="G74" s="54"/>
    </row>
    <row r="75" spans="1:13" ht="13.8" x14ac:dyDescent="0.25">
      <c r="A75" s="1029"/>
      <c r="B75" s="53" t="s">
        <v>1062</v>
      </c>
      <c r="C75" s="54"/>
      <c r="D75" s="54"/>
      <c r="E75" s="54"/>
      <c r="F75" s="54"/>
      <c r="G75" s="54"/>
    </row>
    <row r="76" spans="1:13" ht="13.8" x14ac:dyDescent="0.25">
      <c r="A76" s="1029"/>
      <c r="B76" s="53"/>
      <c r="C76" s="54"/>
      <c r="D76" s="54"/>
      <c r="E76" s="54"/>
      <c r="F76" s="54"/>
      <c r="G76" s="54"/>
    </row>
    <row r="77" spans="1:13" x14ac:dyDescent="0.25">
      <c r="A77" s="1029"/>
      <c r="B77" s="379"/>
      <c r="C77" s="379" t="s">
        <v>331</v>
      </c>
      <c r="D77" s="1030" t="s">
        <v>313</v>
      </c>
      <c r="E77" s="1031" t="s">
        <v>144</v>
      </c>
      <c r="F77" s="1031"/>
      <c r="G77" s="1031"/>
    </row>
    <row r="78" spans="1:13" x14ac:dyDescent="0.25">
      <c r="A78" s="1029"/>
      <c r="B78" s="379"/>
      <c r="C78" s="379" t="s">
        <v>332</v>
      </c>
      <c r="D78" s="1030"/>
      <c r="E78" s="1028" t="s">
        <v>145</v>
      </c>
      <c r="F78" s="1028"/>
      <c r="G78" s="1028"/>
    </row>
    <row r="79" spans="1:13" x14ac:dyDescent="0.25">
      <c r="A79" s="1029"/>
      <c r="B79" s="380"/>
      <c r="C79" s="380" t="s">
        <v>408</v>
      </c>
      <c r="D79" s="381" t="s">
        <v>409</v>
      </c>
      <c r="E79" s="382" t="s">
        <v>558</v>
      </c>
      <c r="F79" s="382" t="s">
        <v>734</v>
      </c>
      <c r="G79" s="382" t="s">
        <v>1063</v>
      </c>
    </row>
    <row r="80" spans="1:13" x14ac:dyDescent="0.25">
      <c r="A80" s="1029"/>
      <c r="B80" s="379"/>
      <c r="C80" s="379" t="s">
        <v>298</v>
      </c>
      <c r="D80" s="381" t="s">
        <v>298</v>
      </c>
      <c r="E80" s="381" t="s">
        <v>298</v>
      </c>
      <c r="F80" s="381" t="s">
        <v>298</v>
      </c>
      <c r="G80" s="381" t="s">
        <v>298</v>
      </c>
    </row>
    <row r="81" spans="1:13" x14ac:dyDescent="0.25">
      <c r="A81" s="1029"/>
      <c r="B81" s="77" t="s">
        <v>562</v>
      </c>
      <c r="C81" s="13"/>
      <c r="D81" s="394"/>
      <c r="E81" s="13"/>
      <c r="F81" s="13"/>
      <c r="G81" s="13"/>
    </row>
    <row r="82" spans="1:13" x14ac:dyDescent="0.25">
      <c r="A82" s="1029"/>
      <c r="B82" s="77" t="s">
        <v>43</v>
      </c>
      <c r="C82" s="77"/>
      <c r="D82" s="395"/>
      <c r="E82" s="58"/>
      <c r="F82" s="58"/>
      <c r="G82" s="58"/>
    </row>
    <row r="83" spans="1:13" x14ac:dyDescent="0.25">
      <c r="A83" s="1029"/>
      <c r="B83" s="80" t="s">
        <v>44</v>
      </c>
      <c r="C83" s="384">
        <v>23476</v>
      </c>
      <c r="D83" s="391">
        <v>12207</v>
      </c>
      <c r="E83" s="384">
        <v>12428</v>
      </c>
      <c r="F83" s="384">
        <v>12776</v>
      </c>
      <c r="G83" s="384">
        <v>13028</v>
      </c>
    </row>
    <row r="84" spans="1:13" x14ac:dyDescent="0.25">
      <c r="A84" s="1029"/>
      <c r="B84" s="80" t="s">
        <v>45</v>
      </c>
      <c r="C84" s="384">
        <v>5272</v>
      </c>
      <c r="D84" s="391">
        <v>5367</v>
      </c>
      <c r="E84" s="384">
        <v>5467</v>
      </c>
      <c r="F84" s="384">
        <v>5567</v>
      </c>
      <c r="G84" s="384">
        <v>5667</v>
      </c>
    </row>
    <row r="85" spans="1:13" x14ac:dyDescent="0.25">
      <c r="A85" s="1029"/>
      <c r="B85" s="83" t="s">
        <v>761</v>
      </c>
      <c r="C85" s="384">
        <v>6</v>
      </c>
      <c r="D85" s="391">
        <v>6</v>
      </c>
      <c r="E85" s="384">
        <v>6</v>
      </c>
      <c r="F85" s="384">
        <v>6</v>
      </c>
      <c r="G85" s="384">
        <v>6</v>
      </c>
    </row>
    <row r="86" spans="1:13" x14ac:dyDescent="0.25">
      <c r="A86" s="1029"/>
      <c r="B86" s="83" t="s">
        <v>563</v>
      </c>
      <c r="C86" s="384">
        <v>0</v>
      </c>
      <c r="D86" s="391">
        <v>0</v>
      </c>
      <c r="E86" s="384">
        <v>0</v>
      </c>
      <c r="F86" s="384">
        <v>0</v>
      </c>
      <c r="G86" s="384">
        <v>0</v>
      </c>
    </row>
    <row r="87" spans="1:13" s="197" customFormat="1" ht="26.4" x14ac:dyDescent="0.25">
      <c r="A87" s="1029"/>
      <c r="B87" s="761" t="s">
        <v>762</v>
      </c>
      <c r="C87" s="384">
        <v>0</v>
      </c>
      <c r="D87" s="391">
        <v>0</v>
      </c>
      <c r="E87" s="384">
        <v>0</v>
      </c>
      <c r="F87" s="384">
        <v>0</v>
      </c>
      <c r="G87" s="384">
        <v>0</v>
      </c>
      <c r="H87" s="755"/>
    </row>
    <row r="88" spans="1:13" x14ac:dyDescent="0.25">
      <c r="A88" s="1029"/>
      <c r="B88" s="80" t="s">
        <v>232</v>
      </c>
      <c r="C88" s="386">
        <v>1440</v>
      </c>
      <c r="D88" s="385">
        <v>200</v>
      </c>
      <c r="E88" s="386">
        <v>200</v>
      </c>
      <c r="F88" s="386">
        <v>200</v>
      </c>
      <c r="G88" s="386">
        <v>200</v>
      </c>
    </row>
    <row r="89" spans="1:13" x14ac:dyDescent="0.25">
      <c r="A89" s="1029"/>
      <c r="B89" s="77" t="s">
        <v>47</v>
      </c>
      <c r="C89" s="387">
        <f>SUM(C83:C88)</f>
        <v>30194</v>
      </c>
      <c r="D89" s="388">
        <f>SUM(D83:D88)</f>
        <v>17780</v>
      </c>
      <c r="E89" s="387">
        <f>SUM(E83:E88)</f>
        <v>18101</v>
      </c>
      <c r="F89" s="387">
        <f>SUM(F83:F88)</f>
        <v>18549</v>
      </c>
      <c r="G89" s="387">
        <f>SUM(G83:G88)</f>
        <v>18901</v>
      </c>
      <c r="I89" s="79"/>
      <c r="J89" s="79"/>
      <c r="K89" s="79"/>
      <c r="L89" s="79"/>
      <c r="M89" s="79"/>
    </row>
    <row r="90" spans="1:13" x14ac:dyDescent="0.25">
      <c r="A90" s="1029"/>
      <c r="B90" s="58"/>
      <c r="C90" s="396"/>
      <c r="D90" s="397"/>
      <c r="E90" s="396"/>
      <c r="F90" s="396"/>
      <c r="G90" s="396"/>
    </row>
    <row r="91" spans="1:13" x14ac:dyDescent="0.25">
      <c r="A91" s="1029"/>
      <c r="B91" s="77" t="s">
        <v>48</v>
      </c>
      <c r="C91" s="398"/>
      <c r="D91" s="397"/>
      <c r="E91" s="396"/>
      <c r="F91" s="396"/>
      <c r="G91" s="396"/>
    </row>
    <row r="92" spans="1:13" x14ac:dyDescent="0.25">
      <c r="A92" s="1029"/>
      <c r="B92" s="80" t="s">
        <v>45</v>
      </c>
      <c r="C92" s="384">
        <v>206</v>
      </c>
      <c r="D92" s="391">
        <v>12</v>
      </c>
      <c r="E92" s="384">
        <v>12</v>
      </c>
      <c r="F92" s="384">
        <v>12</v>
      </c>
      <c r="G92" s="384">
        <v>12</v>
      </c>
    </row>
    <row r="93" spans="1:13" ht="26.4" x14ac:dyDescent="0.25">
      <c r="A93" s="1029"/>
      <c r="B93" s="761" t="s">
        <v>763</v>
      </c>
      <c r="C93" s="384">
        <v>0</v>
      </c>
      <c r="D93" s="391">
        <v>0</v>
      </c>
      <c r="E93" s="384">
        <v>0</v>
      </c>
      <c r="F93" s="384">
        <v>0</v>
      </c>
      <c r="G93" s="384">
        <v>0</v>
      </c>
    </row>
    <row r="94" spans="1:13" ht="26.4" x14ac:dyDescent="0.25">
      <c r="A94" s="1029"/>
      <c r="B94" s="58" t="s">
        <v>14</v>
      </c>
      <c r="C94" s="386">
        <v>501795</v>
      </c>
      <c r="D94" s="385">
        <v>514527</v>
      </c>
      <c r="E94" s="386">
        <v>518681</v>
      </c>
      <c r="F94" s="386">
        <v>517558</v>
      </c>
      <c r="G94" s="386">
        <v>514586</v>
      </c>
    </row>
    <row r="95" spans="1:13" x14ac:dyDescent="0.25">
      <c r="A95" s="1029"/>
      <c r="B95" s="83" t="s">
        <v>564</v>
      </c>
      <c r="C95" s="384">
        <v>0</v>
      </c>
      <c r="D95" s="391">
        <v>0</v>
      </c>
      <c r="E95" s="384">
        <v>0</v>
      </c>
      <c r="F95" s="384">
        <v>0</v>
      </c>
      <c r="G95" s="384">
        <v>0</v>
      </c>
    </row>
    <row r="96" spans="1:13" x14ac:dyDescent="0.25">
      <c r="A96" s="1029"/>
      <c r="B96" s="63" t="s">
        <v>565</v>
      </c>
      <c r="C96" s="399">
        <v>0</v>
      </c>
      <c r="D96" s="400">
        <v>0</v>
      </c>
      <c r="E96" s="399">
        <v>0</v>
      </c>
      <c r="F96" s="399">
        <v>0</v>
      </c>
      <c r="G96" s="399">
        <v>0</v>
      </c>
    </row>
    <row r="97" spans="1:7" x14ac:dyDescent="0.25">
      <c r="A97" s="1029"/>
      <c r="B97" s="77" t="s">
        <v>50</v>
      </c>
      <c r="C97" s="387">
        <f>SUM(C92:C96)</f>
        <v>502001</v>
      </c>
      <c r="D97" s="388">
        <f>SUM(D92:D96)</f>
        <v>514539</v>
      </c>
      <c r="E97" s="387">
        <f>SUM(E92:E96)</f>
        <v>518693</v>
      </c>
      <c r="F97" s="387">
        <f>SUM(F92:F96)</f>
        <v>517570</v>
      </c>
      <c r="G97" s="387">
        <f>SUM(G92:G96)</f>
        <v>514598</v>
      </c>
    </row>
    <row r="98" spans="1:7" x14ac:dyDescent="0.25">
      <c r="A98" s="1029"/>
      <c r="B98" s="77" t="s">
        <v>51</v>
      </c>
      <c r="C98" s="387">
        <f>+C97+C89</f>
        <v>532195</v>
      </c>
      <c r="D98" s="388">
        <f>+D97+D89</f>
        <v>532319</v>
      </c>
      <c r="E98" s="387">
        <f>+E97+E89</f>
        <v>536794</v>
      </c>
      <c r="F98" s="387">
        <f>+F97+F89</f>
        <v>536119</v>
      </c>
      <c r="G98" s="387">
        <f>+G97+G89</f>
        <v>533499</v>
      </c>
    </row>
    <row r="99" spans="1:7" x14ac:dyDescent="0.25">
      <c r="A99" s="1029"/>
      <c r="B99" s="77"/>
      <c r="C99" s="398"/>
      <c r="D99" s="397"/>
      <c r="E99" s="396"/>
      <c r="F99" s="396"/>
      <c r="G99" s="396"/>
    </row>
    <row r="100" spans="1:7" x14ac:dyDescent="0.25">
      <c r="A100" s="1029"/>
      <c r="B100" s="77" t="s">
        <v>566</v>
      </c>
      <c r="C100" s="398"/>
      <c r="D100" s="397"/>
      <c r="E100" s="396"/>
      <c r="F100" s="396"/>
      <c r="G100" s="396"/>
    </row>
    <row r="101" spans="1:7" x14ac:dyDescent="0.25">
      <c r="A101" s="1029"/>
      <c r="B101" s="77" t="s">
        <v>52</v>
      </c>
      <c r="C101" s="398"/>
      <c r="D101" s="397"/>
      <c r="E101" s="396"/>
      <c r="F101" s="396"/>
      <c r="G101" s="396"/>
    </row>
    <row r="102" spans="1:7" x14ac:dyDescent="0.25">
      <c r="A102" s="1029"/>
      <c r="B102" s="80" t="s">
        <v>53</v>
      </c>
      <c r="C102" s="384">
        <v>5880</v>
      </c>
      <c r="D102" s="391">
        <v>5880</v>
      </c>
      <c r="E102" s="384">
        <v>5880</v>
      </c>
      <c r="F102" s="384">
        <v>5880</v>
      </c>
      <c r="G102" s="384">
        <v>5880</v>
      </c>
    </row>
    <row r="103" spans="1:7" x14ac:dyDescent="0.25">
      <c r="A103" s="1029"/>
      <c r="B103" s="83" t="s">
        <v>567</v>
      </c>
      <c r="C103" s="384">
        <v>0</v>
      </c>
      <c r="D103" s="391">
        <v>0</v>
      </c>
      <c r="E103" s="384">
        <v>0</v>
      </c>
      <c r="F103" s="384">
        <v>0</v>
      </c>
      <c r="G103" s="384">
        <v>0</v>
      </c>
    </row>
    <row r="104" spans="1:7" x14ac:dyDescent="0.25">
      <c r="A104" s="1029"/>
      <c r="B104" s="58" t="s">
        <v>55</v>
      </c>
      <c r="C104" s="386">
        <v>5510</v>
      </c>
      <c r="D104" s="385">
        <v>5714</v>
      </c>
      <c r="E104" s="386">
        <v>5917</v>
      </c>
      <c r="F104" s="386">
        <v>6121</v>
      </c>
      <c r="G104" s="386">
        <v>6326</v>
      </c>
    </row>
    <row r="105" spans="1:7" x14ac:dyDescent="0.25">
      <c r="A105" s="1029"/>
      <c r="B105" s="80" t="s">
        <v>54</v>
      </c>
      <c r="C105" s="401">
        <v>1161</v>
      </c>
      <c r="D105" s="402">
        <v>1161</v>
      </c>
      <c r="E105" s="401">
        <v>1161</v>
      </c>
      <c r="F105" s="401">
        <v>1290</v>
      </c>
      <c r="G105" s="401">
        <v>1322</v>
      </c>
    </row>
    <row r="106" spans="1:7" x14ac:dyDescent="0.25">
      <c r="A106" s="1029"/>
      <c r="B106" s="77" t="s">
        <v>56</v>
      </c>
      <c r="C106" s="401">
        <f>SUM(C102:C105)</f>
        <v>12551</v>
      </c>
      <c r="D106" s="402">
        <f>SUM(D102:D105)</f>
        <v>12755</v>
      </c>
      <c r="E106" s="401">
        <f>SUM(E102:E105)</f>
        <v>12958</v>
      </c>
      <c r="F106" s="401">
        <f>SUM(F102:F105)</f>
        <v>13291</v>
      </c>
      <c r="G106" s="401">
        <f>SUM(G102:G105)</f>
        <v>13528</v>
      </c>
    </row>
    <row r="107" spans="1:7" x14ac:dyDescent="0.25">
      <c r="A107" s="1029"/>
      <c r="B107" s="58"/>
      <c r="C107" s="396"/>
      <c r="D107" s="397"/>
      <c r="E107" s="396"/>
      <c r="F107" s="396"/>
      <c r="G107" s="396"/>
    </row>
    <row r="108" spans="1:7" x14ac:dyDescent="0.25">
      <c r="A108" s="1029"/>
      <c r="B108" s="77" t="s">
        <v>57</v>
      </c>
      <c r="C108" s="398"/>
      <c r="D108" s="397"/>
      <c r="E108" s="396"/>
      <c r="F108" s="396"/>
      <c r="G108" s="396"/>
    </row>
    <row r="109" spans="1:7" x14ac:dyDescent="0.25">
      <c r="A109" s="1029"/>
      <c r="B109" s="58" t="s">
        <v>55</v>
      </c>
      <c r="C109" s="386">
        <v>972</v>
      </c>
      <c r="D109" s="385">
        <v>1008</v>
      </c>
      <c r="E109" s="386">
        <v>1043</v>
      </c>
      <c r="F109" s="386">
        <v>1079</v>
      </c>
      <c r="G109" s="386">
        <v>1114</v>
      </c>
    </row>
    <row r="110" spans="1:7" x14ac:dyDescent="0.25">
      <c r="A110" s="1029"/>
      <c r="B110" s="80" t="s">
        <v>54</v>
      </c>
      <c r="C110" s="401">
        <v>4887</v>
      </c>
      <c r="D110" s="402">
        <v>3726</v>
      </c>
      <c r="E110" s="401">
        <v>2565</v>
      </c>
      <c r="F110" s="401">
        <v>3275</v>
      </c>
      <c r="G110" s="401">
        <v>1953</v>
      </c>
    </row>
    <row r="111" spans="1:7" x14ac:dyDescent="0.25">
      <c r="A111" s="1029"/>
      <c r="B111" s="77" t="s">
        <v>58</v>
      </c>
      <c r="C111" s="401">
        <f>SUM(C109:C110)</f>
        <v>5859</v>
      </c>
      <c r="D111" s="402">
        <f>SUM(D109:D110)</f>
        <v>4734</v>
      </c>
      <c r="E111" s="401">
        <f>SUM(E109:E110)</f>
        <v>3608</v>
      </c>
      <c r="F111" s="401">
        <f>SUM(F109:F110)</f>
        <v>4354</v>
      </c>
      <c r="G111" s="401">
        <f>SUM(G109:G110)</f>
        <v>3067</v>
      </c>
    </row>
    <row r="112" spans="1:7" x14ac:dyDescent="0.25">
      <c r="A112" s="1029"/>
      <c r="B112" s="77" t="s">
        <v>59</v>
      </c>
      <c r="C112" s="401">
        <f>+C111+C106</f>
        <v>18410</v>
      </c>
      <c r="D112" s="402">
        <f>+D111+D106</f>
        <v>17489</v>
      </c>
      <c r="E112" s="401">
        <f>+E111+E106</f>
        <v>16566</v>
      </c>
      <c r="F112" s="401">
        <f>+F111+F106</f>
        <v>17645</v>
      </c>
      <c r="G112" s="401">
        <f>+G111+G106</f>
        <v>16595</v>
      </c>
    </row>
    <row r="113" spans="1:13" ht="13.8" thickBot="1" x14ac:dyDescent="0.3">
      <c r="A113" s="1029"/>
      <c r="B113" s="77" t="s">
        <v>60</v>
      </c>
      <c r="C113" s="403">
        <f>+C98-C112</f>
        <v>513785</v>
      </c>
      <c r="D113" s="404">
        <f>+D98-D112</f>
        <v>514830</v>
      </c>
      <c r="E113" s="403">
        <f>+E98-E112</f>
        <v>520228</v>
      </c>
      <c r="F113" s="403">
        <f>+F98-F112</f>
        <v>518474</v>
      </c>
      <c r="G113" s="403">
        <f>+G98-G112</f>
        <v>516904</v>
      </c>
    </row>
    <row r="114" spans="1:13" ht="13.8" thickTop="1" x14ac:dyDescent="0.25">
      <c r="A114" s="1029"/>
      <c r="B114" s="58"/>
      <c r="C114" s="396"/>
      <c r="D114" s="397"/>
      <c r="E114" s="396"/>
      <c r="F114" s="396"/>
      <c r="G114" s="396"/>
    </row>
    <row r="115" spans="1:13" x14ac:dyDescent="0.25">
      <c r="A115" s="1029"/>
      <c r="B115" s="77" t="s">
        <v>61</v>
      </c>
      <c r="C115" s="396"/>
      <c r="D115" s="397"/>
      <c r="E115" s="396"/>
      <c r="F115" s="396"/>
      <c r="G115" s="396"/>
    </row>
    <row r="116" spans="1:13" x14ac:dyDescent="0.25">
      <c r="A116" s="1029"/>
      <c r="B116" s="58" t="s">
        <v>62</v>
      </c>
      <c r="C116" s="384">
        <v>398518</v>
      </c>
      <c r="D116" s="391">
        <v>407910</v>
      </c>
      <c r="E116" s="384">
        <v>413228</v>
      </c>
      <c r="F116" s="384">
        <v>411392</v>
      </c>
      <c r="G116" s="384">
        <v>409742</v>
      </c>
    </row>
    <row r="117" spans="1:13" x14ac:dyDescent="0.25">
      <c r="A117" s="1029"/>
      <c r="B117" s="55" t="s">
        <v>568</v>
      </c>
      <c r="C117" s="384">
        <v>115267</v>
      </c>
      <c r="D117" s="391">
        <v>106920</v>
      </c>
      <c r="E117" s="384">
        <v>107000</v>
      </c>
      <c r="F117" s="384">
        <v>107082</v>
      </c>
      <c r="G117" s="384">
        <v>107162</v>
      </c>
    </row>
    <row r="118" spans="1:13" ht="13.8" thickBot="1" x14ac:dyDescent="0.3">
      <c r="A118" s="1029"/>
      <c r="B118" s="77" t="s">
        <v>63</v>
      </c>
      <c r="C118" s="392">
        <f>SUM(C116:C117)</f>
        <v>513785</v>
      </c>
      <c r="D118" s="393">
        <f>SUM(D116:D117)</f>
        <v>514830</v>
      </c>
      <c r="E118" s="392">
        <f>SUM(E116:E117)</f>
        <v>520228</v>
      </c>
      <c r="F118" s="392">
        <f>SUM(F116:F117)</f>
        <v>518474</v>
      </c>
      <c r="G118" s="392">
        <f>SUM(G116:G117)</f>
        <v>516904</v>
      </c>
    </row>
    <row r="119" spans="1:13" ht="13.8" thickTop="1" x14ac:dyDescent="0.25">
      <c r="A119" s="1029"/>
      <c r="B119" s="58"/>
      <c r="C119" s="81"/>
      <c r="D119" s="78"/>
      <c r="E119" s="81"/>
      <c r="F119" s="81"/>
      <c r="G119" s="81"/>
    </row>
    <row r="120" spans="1:13" x14ac:dyDescent="0.25">
      <c r="A120" s="1029"/>
      <c r="B120" s="58"/>
      <c r="C120" s="81"/>
      <c r="D120" s="78"/>
      <c r="E120" s="81"/>
      <c r="F120" s="81"/>
      <c r="G120" s="81"/>
    </row>
    <row r="121" spans="1:13" ht="15.6" x14ac:dyDescent="0.25">
      <c r="A121" s="1029"/>
      <c r="B121" s="76" t="s">
        <v>998</v>
      </c>
      <c r="C121" s="81"/>
      <c r="D121" s="78"/>
      <c r="E121" s="81"/>
      <c r="F121" s="81"/>
      <c r="G121" s="81"/>
    </row>
    <row r="122" spans="1:13" ht="13.8" x14ac:dyDescent="0.25">
      <c r="A122" s="1029"/>
      <c r="B122" s="53" t="s">
        <v>1062</v>
      </c>
      <c r="C122" s="81"/>
      <c r="D122" s="78"/>
      <c r="E122" s="81"/>
      <c r="F122" s="81"/>
      <c r="G122" s="81"/>
    </row>
    <row r="123" spans="1:13" s="239" customFormat="1" ht="13.8" x14ac:dyDescent="0.25">
      <c r="A123" s="1029"/>
      <c r="B123" s="110"/>
      <c r="C123" s="81"/>
      <c r="D123" s="78"/>
      <c r="E123" s="81"/>
      <c r="F123" s="81"/>
      <c r="G123" s="81"/>
    </row>
    <row r="124" spans="1:13" ht="26.4" x14ac:dyDescent="0.25">
      <c r="A124" s="1029"/>
      <c r="B124" s="405"/>
      <c r="C124" s="406"/>
      <c r="D124" s="407" t="s">
        <v>439</v>
      </c>
      <c r="E124" s="408" t="s">
        <v>639</v>
      </c>
      <c r="F124" s="408" t="s">
        <v>640</v>
      </c>
      <c r="G124" s="408" t="s">
        <v>641</v>
      </c>
    </row>
    <row r="125" spans="1:13" x14ac:dyDescent="0.25">
      <c r="A125" s="1029"/>
      <c r="B125" s="405"/>
      <c r="C125" s="406"/>
      <c r="D125" s="408" t="s">
        <v>298</v>
      </c>
      <c r="E125" s="408" t="s">
        <v>298</v>
      </c>
      <c r="F125" s="408" t="s">
        <v>298</v>
      </c>
      <c r="G125" s="408" t="s">
        <v>298</v>
      </c>
      <c r="K125" s="409"/>
      <c r="L125" s="303"/>
      <c r="M125" s="303"/>
    </row>
    <row r="126" spans="1:13" s="750" customFormat="1" x14ac:dyDescent="0.25">
      <c r="A126" s="1029"/>
      <c r="B126" s="210" t="s">
        <v>1237</v>
      </c>
      <c r="C126" s="94"/>
      <c r="D126" s="84"/>
      <c r="E126" s="86"/>
      <c r="F126" s="86"/>
      <c r="G126" s="86"/>
    </row>
    <row r="127" spans="1:13" s="750" customFormat="1" x14ac:dyDescent="0.25">
      <c r="A127" s="1029"/>
      <c r="B127" s="211" t="s">
        <v>637</v>
      </c>
      <c r="C127" s="94"/>
      <c r="D127" s="415">
        <v>0</v>
      </c>
      <c r="E127" s="415">
        <v>400440</v>
      </c>
      <c r="F127" s="415">
        <v>102118</v>
      </c>
      <c r="G127" s="415">
        <v>13149</v>
      </c>
    </row>
    <row r="128" spans="1:13" s="750" customFormat="1" x14ac:dyDescent="0.25">
      <c r="A128" s="1029"/>
      <c r="B128" s="211" t="s">
        <v>422</v>
      </c>
      <c r="C128" s="94"/>
      <c r="D128" s="415">
        <v>-1922</v>
      </c>
      <c r="E128" s="415">
        <v>-1922</v>
      </c>
      <c r="F128" s="415" t="s">
        <v>148</v>
      </c>
      <c r="G128" s="415" t="s">
        <v>148</v>
      </c>
    </row>
    <row r="129" spans="1:7" s="750" customFormat="1" x14ac:dyDescent="0.25">
      <c r="A129" s="1029"/>
      <c r="B129" s="211" t="s">
        <v>764</v>
      </c>
      <c r="C129" s="94"/>
      <c r="D129" s="415" t="s">
        <v>148</v>
      </c>
      <c r="E129" s="415" t="s">
        <v>148</v>
      </c>
      <c r="F129" s="415" t="s">
        <v>148</v>
      </c>
      <c r="G129" s="415" t="s">
        <v>148</v>
      </c>
    </row>
    <row r="130" spans="1:7" s="750" customFormat="1" x14ac:dyDescent="0.25">
      <c r="A130" s="1029"/>
      <c r="B130" s="211" t="s">
        <v>804</v>
      </c>
      <c r="C130" s="94"/>
      <c r="D130" s="415" t="s">
        <v>148</v>
      </c>
      <c r="E130" s="415">
        <v>0</v>
      </c>
      <c r="F130" s="415" t="s">
        <v>148</v>
      </c>
      <c r="G130" s="415">
        <v>0</v>
      </c>
    </row>
    <row r="131" spans="1:7" s="750" customFormat="1" ht="13.8" thickBot="1" x14ac:dyDescent="0.3">
      <c r="A131" s="1029"/>
      <c r="B131" s="211" t="s">
        <v>805</v>
      </c>
      <c r="C131" s="94"/>
      <c r="D131" s="430" t="s">
        <v>148</v>
      </c>
      <c r="E131" s="430">
        <v>0</v>
      </c>
      <c r="F131" s="430" t="s">
        <v>148</v>
      </c>
      <c r="G131" s="430">
        <v>0</v>
      </c>
    </row>
    <row r="132" spans="1:7" s="750" customFormat="1" ht="13.8" thickBot="1" x14ac:dyDescent="0.3">
      <c r="A132" s="1029"/>
      <c r="B132" s="212" t="s">
        <v>638</v>
      </c>
      <c r="C132" s="94"/>
      <c r="D132" s="767">
        <f>SUM(D127:D131)</f>
        <v>-1922</v>
      </c>
      <c r="E132" s="767">
        <f>SUM(E127:E131)</f>
        <v>398518</v>
      </c>
      <c r="F132" s="767">
        <f>SUM(F127:F131)</f>
        <v>102118</v>
      </c>
      <c r="G132" s="767">
        <f>SUM(G127:G131)</f>
        <v>13149</v>
      </c>
    </row>
    <row r="133" spans="1:7" s="750" customFormat="1" ht="13.8" thickTop="1" x14ac:dyDescent="0.25">
      <c r="A133" s="1029"/>
      <c r="B133" s="751"/>
      <c r="C133" s="94"/>
      <c r="D133" s="768"/>
      <c r="E133" s="768"/>
      <c r="F133" s="768"/>
      <c r="G133" s="768"/>
    </row>
    <row r="134" spans="1:7" x14ac:dyDescent="0.25">
      <c r="A134" s="1029"/>
      <c r="B134" s="763" t="s">
        <v>1238</v>
      </c>
      <c r="C134" s="764"/>
      <c r="D134" s="769"/>
      <c r="E134" s="428"/>
      <c r="F134" s="428"/>
      <c r="G134" s="428"/>
    </row>
    <row r="135" spans="1:7" x14ac:dyDescent="0.25">
      <c r="A135" s="1029"/>
      <c r="B135" s="765" t="s">
        <v>637</v>
      </c>
      <c r="C135" s="764"/>
      <c r="D135" s="416">
        <v>513785</v>
      </c>
      <c r="E135" s="416">
        <v>398518</v>
      </c>
      <c r="F135" s="416">
        <v>102118</v>
      </c>
      <c r="G135" s="416">
        <v>13149</v>
      </c>
    </row>
    <row r="136" spans="1:7" x14ac:dyDescent="0.25">
      <c r="A136" s="1029"/>
      <c r="B136" s="765" t="s">
        <v>422</v>
      </c>
      <c r="C136" s="764"/>
      <c r="D136" s="416">
        <v>1045</v>
      </c>
      <c r="E136" s="416">
        <v>1045</v>
      </c>
      <c r="F136" s="416" t="s">
        <v>148</v>
      </c>
      <c r="G136" s="416" t="s">
        <v>148</v>
      </c>
    </row>
    <row r="137" spans="1:7" x14ac:dyDescent="0.25">
      <c r="A137" s="1029"/>
      <c r="B137" s="765" t="s">
        <v>764</v>
      </c>
      <c r="C137" s="764"/>
      <c r="D137" s="416" t="s">
        <v>148</v>
      </c>
      <c r="E137" s="416" t="s">
        <v>148</v>
      </c>
      <c r="F137" s="416" t="s">
        <v>148</v>
      </c>
      <c r="G137" s="416" t="s">
        <v>148</v>
      </c>
    </row>
    <row r="138" spans="1:7" x14ac:dyDescent="0.25">
      <c r="A138" s="1029"/>
      <c r="B138" s="765" t="s">
        <v>804</v>
      </c>
      <c r="C138" s="764"/>
      <c r="D138" s="416" t="s">
        <v>148</v>
      </c>
      <c r="E138" s="416">
        <v>-2001</v>
      </c>
      <c r="F138" s="416" t="s">
        <v>148</v>
      </c>
      <c r="G138" s="416">
        <v>2001</v>
      </c>
    </row>
    <row r="139" spans="1:7" ht="13.8" thickBot="1" x14ac:dyDescent="0.3">
      <c r="A139" s="1029"/>
      <c r="B139" s="765" t="s">
        <v>805</v>
      </c>
      <c r="C139" s="764"/>
      <c r="D139" s="770" t="s">
        <v>148</v>
      </c>
      <c r="E139" s="770">
        <v>10348</v>
      </c>
      <c r="F139" s="770" t="s">
        <v>148</v>
      </c>
      <c r="G139" s="770">
        <v>-10348</v>
      </c>
    </row>
    <row r="140" spans="1:7" ht="13.8" thickBot="1" x14ac:dyDescent="0.3">
      <c r="A140" s="1029"/>
      <c r="B140" s="766" t="s">
        <v>638</v>
      </c>
      <c r="C140" s="764"/>
      <c r="D140" s="436">
        <f>SUM(D135:D139)</f>
        <v>514830</v>
      </c>
      <c r="E140" s="436">
        <f>SUM(E135:E139)</f>
        <v>407910</v>
      </c>
      <c r="F140" s="436">
        <f>SUM(F135:F139)</f>
        <v>102118</v>
      </c>
      <c r="G140" s="436">
        <f>SUM(G135:G139)</f>
        <v>4802</v>
      </c>
    </row>
    <row r="141" spans="1:7" ht="13.8" thickTop="1" x14ac:dyDescent="0.25">
      <c r="A141" s="1029"/>
      <c r="B141" s="163"/>
      <c r="C141" s="94"/>
      <c r="D141" s="768"/>
      <c r="E141" s="768"/>
      <c r="F141" s="768"/>
      <c r="G141" s="768"/>
    </row>
    <row r="142" spans="1:7" x14ac:dyDescent="0.25">
      <c r="A142" s="1029"/>
      <c r="B142" s="210" t="s">
        <v>1239</v>
      </c>
      <c r="C142" s="94"/>
      <c r="D142" s="768"/>
      <c r="E142" s="768"/>
      <c r="F142" s="768"/>
      <c r="G142" s="768"/>
    </row>
    <row r="143" spans="1:7" x14ac:dyDescent="0.25">
      <c r="A143" s="1029"/>
      <c r="B143" s="211" t="s">
        <v>637</v>
      </c>
      <c r="C143" s="94"/>
      <c r="D143" s="415">
        <v>514830</v>
      </c>
      <c r="E143" s="415">
        <v>407910</v>
      </c>
      <c r="F143" s="415">
        <v>102118</v>
      </c>
      <c r="G143" s="415">
        <v>4802</v>
      </c>
    </row>
    <row r="144" spans="1:7" x14ac:dyDescent="0.25">
      <c r="A144" s="1029"/>
      <c r="B144" s="211" t="s">
        <v>422</v>
      </c>
      <c r="C144" s="94"/>
      <c r="D144" s="415">
        <v>5398</v>
      </c>
      <c r="E144" s="415">
        <v>5398</v>
      </c>
      <c r="F144" s="415" t="s">
        <v>148</v>
      </c>
      <c r="G144" s="415" t="s">
        <v>148</v>
      </c>
    </row>
    <row r="145" spans="1:7" ht="26.4" x14ac:dyDescent="0.25">
      <c r="A145" s="1029"/>
      <c r="B145" s="213" t="s">
        <v>764</v>
      </c>
      <c r="C145" s="94"/>
      <c r="D145" s="415" t="s">
        <v>148</v>
      </c>
      <c r="E145" s="415" t="s">
        <v>148</v>
      </c>
      <c r="F145" s="415" t="s">
        <v>148</v>
      </c>
      <c r="G145" s="415" t="s">
        <v>148</v>
      </c>
    </row>
    <row r="146" spans="1:7" x14ac:dyDescent="0.25">
      <c r="A146" s="1029"/>
      <c r="B146" s="211" t="s">
        <v>804</v>
      </c>
      <c r="C146" s="94"/>
      <c r="D146" s="415" t="s">
        <v>148</v>
      </c>
      <c r="E146" s="415">
        <v>-1510</v>
      </c>
      <c r="F146" s="415" t="s">
        <v>148</v>
      </c>
      <c r="G146" s="415">
        <v>1510</v>
      </c>
    </row>
    <row r="147" spans="1:7" ht="13.8" thickBot="1" x14ac:dyDescent="0.3">
      <c r="A147" s="1029"/>
      <c r="B147" s="211" t="s">
        <v>805</v>
      </c>
      <c r="C147" s="94"/>
      <c r="D147" s="430" t="s">
        <v>148</v>
      </c>
      <c r="E147" s="430">
        <v>1430</v>
      </c>
      <c r="F147" s="430" t="s">
        <v>148</v>
      </c>
      <c r="G147" s="430">
        <v>-1430</v>
      </c>
    </row>
    <row r="148" spans="1:7" ht="13.8" thickBot="1" x14ac:dyDescent="0.3">
      <c r="A148" s="1029"/>
      <c r="B148" s="210" t="s">
        <v>638</v>
      </c>
      <c r="C148" s="94"/>
      <c r="D148" s="767">
        <f>SUM(D143:D147)</f>
        <v>520228</v>
      </c>
      <c r="E148" s="767">
        <f>SUM(E143:E147)</f>
        <v>413228</v>
      </c>
      <c r="F148" s="767">
        <f>SUM(F143:F147)</f>
        <v>102118</v>
      </c>
      <c r="G148" s="767">
        <f>SUM(G143:G147)</f>
        <v>4882</v>
      </c>
    </row>
    <row r="149" spans="1:7" ht="13.8" thickTop="1" x14ac:dyDescent="0.25">
      <c r="A149" s="1029"/>
      <c r="B149" s="214"/>
      <c r="C149" s="94"/>
      <c r="D149" s="768"/>
      <c r="E149" s="768"/>
      <c r="F149" s="768"/>
      <c r="G149" s="768"/>
    </row>
    <row r="150" spans="1:7" x14ac:dyDescent="0.25">
      <c r="A150" s="1029"/>
      <c r="B150" s="210" t="s">
        <v>1240</v>
      </c>
      <c r="C150" s="94"/>
      <c r="D150" s="768"/>
      <c r="E150" s="768"/>
      <c r="F150" s="768"/>
      <c r="G150" s="768"/>
    </row>
    <row r="151" spans="1:7" x14ac:dyDescent="0.25">
      <c r="A151" s="1029"/>
      <c r="B151" s="211" t="s">
        <v>637</v>
      </c>
      <c r="C151" s="94"/>
      <c r="D151" s="415">
        <v>520228</v>
      </c>
      <c r="E151" s="415">
        <v>413228</v>
      </c>
      <c r="F151" s="415">
        <v>102118</v>
      </c>
      <c r="G151" s="415">
        <v>4882</v>
      </c>
    </row>
    <row r="152" spans="1:7" x14ac:dyDescent="0.25">
      <c r="A152" s="1029"/>
      <c r="B152" s="211" t="s">
        <v>422</v>
      </c>
      <c r="C152" s="94"/>
      <c r="D152" s="415">
        <v>-1754</v>
      </c>
      <c r="E152" s="415">
        <v>-1754</v>
      </c>
      <c r="F152" s="415" t="s">
        <v>148</v>
      </c>
      <c r="G152" s="415" t="s">
        <v>148</v>
      </c>
    </row>
    <row r="153" spans="1:7" ht="26.4" x14ac:dyDescent="0.25">
      <c r="A153" s="1029"/>
      <c r="B153" s="213" t="s">
        <v>764</v>
      </c>
      <c r="C153" s="94"/>
      <c r="D153" s="415" t="s">
        <v>148</v>
      </c>
      <c r="E153" s="415" t="s">
        <v>148</v>
      </c>
      <c r="F153" s="415" t="s">
        <v>148</v>
      </c>
      <c r="G153" s="415" t="s">
        <v>148</v>
      </c>
    </row>
    <row r="154" spans="1:7" x14ac:dyDescent="0.25">
      <c r="A154" s="1029"/>
      <c r="B154" s="211" t="s">
        <v>804</v>
      </c>
      <c r="C154" s="94"/>
      <c r="D154" s="415" t="s">
        <v>148</v>
      </c>
      <c r="E154" s="415">
        <v>-1450</v>
      </c>
      <c r="F154" s="415" t="s">
        <v>148</v>
      </c>
      <c r="G154" s="415">
        <v>1452</v>
      </c>
    </row>
    <row r="155" spans="1:7" ht="13.8" thickBot="1" x14ac:dyDescent="0.3">
      <c r="A155" s="1029"/>
      <c r="B155" s="211" t="s">
        <v>805</v>
      </c>
      <c r="C155" s="94"/>
      <c r="D155" s="430" t="s">
        <v>148</v>
      </c>
      <c r="E155" s="430">
        <v>1370</v>
      </c>
      <c r="F155" s="430" t="s">
        <v>148</v>
      </c>
      <c r="G155" s="430">
        <v>-1370</v>
      </c>
    </row>
    <row r="156" spans="1:7" ht="13.8" thickBot="1" x14ac:dyDescent="0.3">
      <c r="A156" s="1029"/>
      <c r="B156" s="210" t="s">
        <v>638</v>
      </c>
      <c r="C156" s="94"/>
      <c r="D156" s="767">
        <f>SUM(D151:D155)</f>
        <v>518474</v>
      </c>
      <c r="E156" s="767">
        <f>SUM(E151:E155)-2</f>
        <v>411392</v>
      </c>
      <c r="F156" s="767">
        <f>SUM(F151:F155)</f>
        <v>102118</v>
      </c>
      <c r="G156" s="767">
        <f>SUM(G151:G155)</f>
        <v>4964</v>
      </c>
    </row>
    <row r="157" spans="1:7" ht="13.8" thickTop="1" x14ac:dyDescent="0.25">
      <c r="A157" s="1029"/>
      <c r="B157" s="214"/>
      <c r="C157" s="94"/>
      <c r="D157" s="768"/>
      <c r="E157" s="768"/>
      <c r="F157" s="768"/>
      <c r="G157" s="768"/>
    </row>
    <row r="158" spans="1:7" x14ac:dyDescent="0.25">
      <c r="A158" s="1029"/>
      <c r="B158" s="210" t="s">
        <v>1241</v>
      </c>
      <c r="C158" s="94"/>
      <c r="D158" s="768"/>
      <c r="E158" s="768"/>
      <c r="F158" s="768"/>
      <c r="G158" s="768"/>
    </row>
    <row r="159" spans="1:7" x14ac:dyDescent="0.25">
      <c r="A159" s="1029"/>
      <c r="B159" s="211" t="s">
        <v>637</v>
      </c>
      <c r="C159" s="94"/>
      <c r="D159" s="415">
        <v>518474</v>
      </c>
      <c r="E159" s="415">
        <v>411392</v>
      </c>
      <c r="F159" s="415">
        <v>102118</v>
      </c>
      <c r="G159" s="415">
        <v>4964</v>
      </c>
    </row>
    <row r="160" spans="1:7" x14ac:dyDescent="0.25">
      <c r="A160" s="1029"/>
      <c r="B160" s="211" t="s">
        <v>422</v>
      </c>
      <c r="C160" s="94"/>
      <c r="D160" s="415">
        <v>-1570</v>
      </c>
      <c r="E160" s="415">
        <v>-1570</v>
      </c>
      <c r="F160" s="415" t="s">
        <v>148</v>
      </c>
      <c r="G160" s="415" t="s">
        <v>148</v>
      </c>
    </row>
    <row r="161" spans="1:7" ht="26.4" x14ac:dyDescent="0.25">
      <c r="A161" s="1029"/>
      <c r="B161" s="213" t="s">
        <v>764</v>
      </c>
      <c r="C161" s="94"/>
      <c r="D161" s="415" t="s">
        <v>148</v>
      </c>
      <c r="E161" s="415" t="s">
        <v>148</v>
      </c>
      <c r="F161" s="415" t="s">
        <v>148</v>
      </c>
      <c r="G161" s="415" t="s">
        <v>148</v>
      </c>
    </row>
    <row r="162" spans="1:7" x14ac:dyDescent="0.25">
      <c r="A162" s="1029"/>
      <c r="B162" s="211" t="s">
        <v>804</v>
      </c>
      <c r="C162" s="94"/>
      <c r="D162" s="415" t="s">
        <v>148</v>
      </c>
      <c r="E162" s="415">
        <v>-1410</v>
      </c>
      <c r="F162" s="415" t="s">
        <v>148</v>
      </c>
      <c r="G162" s="415">
        <v>1410</v>
      </c>
    </row>
    <row r="163" spans="1:7" ht="13.8" thickBot="1" x14ac:dyDescent="0.3">
      <c r="A163" s="1029"/>
      <c r="B163" s="211" t="s">
        <v>805</v>
      </c>
      <c r="C163" s="94"/>
      <c r="D163" s="430" t="s">
        <v>148</v>
      </c>
      <c r="E163" s="430">
        <v>1330</v>
      </c>
      <c r="F163" s="430" t="s">
        <v>148</v>
      </c>
      <c r="G163" s="430">
        <v>-1330</v>
      </c>
    </row>
    <row r="164" spans="1:7" ht="13.8" thickBot="1" x14ac:dyDescent="0.3">
      <c r="A164" s="1029"/>
      <c r="B164" s="210" t="s">
        <v>638</v>
      </c>
      <c r="C164" s="94"/>
      <c r="D164" s="767">
        <f>SUM(D159:D163)</f>
        <v>516904</v>
      </c>
      <c r="E164" s="767">
        <f>SUM(E159:E163)</f>
        <v>409742</v>
      </c>
      <c r="F164" s="767">
        <f>SUM(F159:F163)</f>
        <v>102118</v>
      </c>
      <c r="G164" s="767">
        <f>SUM(G159:G163)</f>
        <v>5044</v>
      </c>
    </row>
    <row r="165" spans="1:7" ht="13.8" thickTop="1" x14ac:dyDescent="0.25">
      <c r="A165" s="1029"/>
      <c r="B165" s="58"/>
      <c r="C165" s="81"/>
      <c r="D165" s="78"/>
      <c r="E165" s="81"/>
      <c r="F165" s="81"/>
      <c r="G165" s="81"/>
    </row>
    <row r="166" spans="1:7" x14ac:dyDescent="0.25">
      <c r="A166" s="1029"/>
      <c r="B166" s="54"/>
      <c r="C166" s="54"/>
      <c r="D166" s="54"/>
      <c r="E166" s="54"/>
      <c r="F166" s="54"/>
      <c r="G166" s="54"/>
    </row>
    <row r="167" spans="1:7" ht="15.6" x14ac:dyDescent="0.25">
      <c r="A167" s="1029"/>
      <c r="B167" s="76" t="s">
        <v>999</v>
      </c>
      <c r="C167" s="54"/>
      <c r="D167" s="54"/>
      <c r="E167" s="54"/>
      <c r="F167" s="54"/>
      <c r="G167" s="54"/>
    </row>
    <row r="168" spans="1:7" ht="13.8" x14ac:dyDescent="0.25">
      <c r="A168" s="1029"/>
      <c r="B168" s="53" t="s">
        <v>1062</v>
      </c>
      <c r="C168" s="54"/>
      <c r="D168" s="54"/>
      <c r="E168" s="54"/>
      <c r="F168" s="54"/>
      <c r="G168" s="54"/>
    </row>
    <row r="169" spans="1:7" ht="13.8" x14ac:dyDescent="0.25">
      <c r="A169" s="1029"/>
      <c r="B169" s="53"/>
      <c r="C169" s="54"/>
      <c r="D169" s="54"/>
      <c r="E169" s="54"/>
      <c r="F169" s="54"/>
      <c r="G169" s="54"/>
    </row>
    <row r="170" spans="1:7" x14ac:dyDescent="0.25">
      <c r="A170" s="1029"/>
      <c r="B170" s="379"/>
      <c r="C170" s="379" t="s">
        <v>331</v>
      </c>
      <c r="D170" s="1030" t="s">
        <v>313</v>
      </c>
      <c r="E170" s="1031" t="s">
        <v>144</v>
      </c>
      <c r="F170" s="1031"/>
      <c r="G170" s="1031"/>
    </row>
    <row r="171" spans="1:7" x14ac:dyDescent="0.25">
      <c r="A171" s="1029"/>
      <c r="B171" s="379"/>
      <c r="C171" s="379" t="s">
        <v>332</v>
      </c>
      <c r="D171" s="1030"/>
      <c r="E171" s="1028" t="s">
        <v>145</v>
      </c>
      <c r="F171" s="1028"/>
      <c r="G171" s="1028"/>
    </row>
    <row r="172" spans="1:7" x14ac:dyDescent="0.25">
      <c r="A172" s="1029"/>
      <c r="B172" s="380"/>
      <c r="C172" s="380" t="s">
        <v>408</v>
      </c>
      <c r="D172" s="381" t="s">
        <v>409</v>
      </c>
      <c r="E172" s="382" t="s">
        <v>558</v>
      </c>
      <c r="F172" s="382" t="s">
        <v>734</v>
      </c>
      <c r="G172" s="382" t="s">
        <v>1063</v>
      </c>
    </row>
    <row r="173" spans="1:7" x14ac:dyDescent="0.25">
      <c r="A173" s="1029"/>
      <c r="B173" s="379"/>
      <c r="C173" s="379" t="s">
        <v>298</v>
      </c>
      <c r="D173" s="381" t="s">
        <v>298</v>
      </c>
      <c r="E173" s="381" t="s">
        <v>298</v>
      </c>
      <c r="F173" s="381" t="s">
        <v>298</v>
      </c>
      <c r="G173" s="381" t="s">
        <v>298</v>
      </c>
    </row>
    <row r="174" spans="1:7" x14ac:dyDescent="0.25">
      <c r="A174" s="1029"/>
      <c r="B174" s="58"/>
      <c r="C174" s="13" t="s">
        <v>15</v>
      </c>
      <c r="D174" s="394" t="s">
        <v>15</v>
      </c>
      <c r="E174" s="13" t="s">
        <v>15</v>
      </c>
      <c r="F174" s="13" t="s">
        <v>15</v>
      </c>
      <c r="G174" s="13" t="s">
        <v>15</v>
      </c>
    </row>
    <row r="175" spans="1:7" x14ac:dyDescent="0.25">
      <c r="A175" s="1029"/>
      <c r="B175" s="58"/>
      <c r="C175" s="13" t="s">
        <v>16</v>
      </c>
      <c r="D175" s="394" t="s">
        <v>16</v>
      </c>
      <c r="E175" s="13" t="s">
        <v>16</v>
      </c>
      <c r="F175" s="13" t="s">
        <v>16</v>
      </c>
      <c r="G175" s="13" t="s">
        <v>16</v>
      </c>
    </row>
    <row r="176" spans="1:7" x14ac:dyDescent="0.25">
      <c r="A176" s="1029"/>
      <c r="B176" s="77" t="s">
        <v>156</v>
      </c>
      <c r="C176" s="77"/>
      <c r="D176" s="395"/>
      <c r="E176" s="58"/>
      <c r="F176" s="58"/>
      <c r="G176" s="58"/>
    </row>
    <row r="177" spans="1:12" x14ac:dyDescent="0.25">
      <c r="A177" s="1029"/>
      <c r="B177" s="58" t="s">
        <v>73</v>
      </c>
      <c r="C177" s="384">
        <f>41410+490</f>
        <v>41900</v>
      </c>
      <c r="D177" s="391">
        <v>43357</v>
      </c>
      <c r="E177" s="384">
        <v>46173</v>
      </c>
      <c r="F177" s="384">
        <v>48625</v>
      </c>
      <c r="G177" s="384">
        <v>51163</v>
      </c>
      <c r="L177" s="936">
        <f>D177/C177</f>
        <v>1.0347732696897374</v>
      </c>
    </row>
    <row r="178" spans="1:12" x14ac:dyDescent="0.25">
      <c r="A178" s="1029"/>
      <c r="B178" s="58" t="s">
        <v>398</v>
      </c>
      <c r="C178" s="384">
        <v>2195</v>
      </c>
      <c r="D178" s="391">
        <v>2690</v>
      </c>
      <c r="E178" s="384">
        <v>2818</v>
      </c>
      <c r="F178" s="384">
        <v>2785</v>
      </c>
      <c r="G178" s="384">
        <v>2834</v>
      </c>
    </row>
    <row r="179" spans="1:12" x14ac:dyDescent="0.25">
      <c r="A179" s="1029"/>
      <c r="B179" s="58" t="s">
        <v>75</v>
      </c>
      <c r="C179" s="384">
        <f>7849-490</f>
        <v>7359</v>
      </c>
      <c r="D179" s="391">
        <v>7680</v>
      </c>
      <c r="E179" s="384">
        <v>7828</v>
      </c>
      <c r="F179" s="384">
        <v>8004</v>
      </c>
      <c r="G179" s="384">
        <v>8184</v>
      </c>
    </row>
    <row r="180" spans="1:12" x14ac:dyDescent="0.25">
      <c r="A180" s="1029"/>
      <c r="B180" s="58" t="s">
        <v>387</v>
      </c>
      <c r="C180" s="384">
        <v>13313</v>
      </c>
      <c r="D180" s="391">
        <v>13617</v>
      </c>
      <c r="E180" s="384">
        <v>13604</v>
      </c>
      <c r="F180" s="384">
        <v>13746</v>
      </c>
      <c r="G180" s="384">
        <v>13987</v>
      </c>
    </row>
    <row r="181" spans="1:12" x14ac:dyDescent="0.25">
      <c r="A181" s="1029"/>
      <c r="B181" s="58" t="s">
        <v>388</v>
      </c>
      <c r="C181" s="384">
        <v>2903</v>
      </c>
      <c r="D181" s="391">
        <v>6277</v>
      </c>
      <c r="E181" s="384">
        <v>9407</v>
      </c>
      <c r="F181" s="384">
        <v>1694</v>
      </c>
      <c r="G181" s="384">
        <v>1367</v>
      </c>
    </row>
    <row r="182" spans="1:12" x14ac:dyDescent="0.25">
      <c r="A182" s="1029"/>
      <c r="B182" s="55" t="s">
        <v>756</v>
      </c>
      <c r="C182" s="384">
        <v>661</v>
      </c>
      <c r="D182" s="391">
        <v>51</v>
      </c>
      <c r="E182" s="384">
        <v>471</v>
      </c>
      <c r="F182" s="384">
        <v>370</v>
      </c>
      <c r="G182" s="384">
        <v>350</v>
      </c>
    </row>
    <row r="183" spans="1:12" x14ac:dyDescent="0.25">
      <c r="A183" s="1029"/>
      <c r="B183" s="163" t="s">
        <v>765</v>
      </c>
      <c r="C183" s="384">
        <v>2044</v>
      </c>
      <c r="D183" s="391">
        <v>1820</v>
      </c>
      <c r="E183" s="384">
        <v>1264</v>
      </c>
      <c r="F183" s="384">
        <v>1278</v>
      </c>
      <c r="G183" s="384">
        <v>1292</v>
      </c>
    </row>
    <row r="184" spans="1:12" s="197" customFormat="1" x14ac:dyDescent="0.25">
      <c r="A184" s="1029"/>
      <c r="B184" s="163" t="s">
        <v>766</v>
      </c>
      <c r="C184" s="384">
        <v>0</v>
      </c>
      <c r="D184" s="391">
        <v>0</v>
      </c>
      <c r="E184" s="384">
        <v>0</v>
      </c>
      <c r="F184" s="384">
        <v>0</v>
      </c>
      <c r="G184" s="384">
        <v>0</v>
      </c>
    </row>
    <row r="185" spans="1:12" s="197" customFormat="1" x14ac:dyDescent="0.25">
      <c r="A185" s="1029"/>
      <c r="B185" s="163" t="s">
        <v>767</v>
      </c>
      <c r="C185" s="384">
        <v>50</v>
      </c>
      <c r="D185" s="391">
        <v>0</v>
      </c>
      <c r="E185" s="384">
        <v>0</v>
      </c>
      <c r="F185" s="384">
        <v>0</v>
      </c>
      <c r="G185" s="384">
        <v>0</v>
      </c>
    </row>
    <row r="186" spans="1:12" x14ac:dyDescent="0.25">
      <c r="A186" s="1029"/>
      <c r="B186" s="55" t="s">
        <v>412</v>
      </c>
      <c r="C186" s="384">
        <v>2511</v>
      </c>
      <c r="D186" s="391">
        <v>1443</v>
      </c>
      <c r="E186" s="384">
        <v>1469</v>
      </c>
      <c r="F186" s="384">
        <v>1503</v>
      </c>
      <c r="G186" s="384">
        <v>1538</v>
      </c>
    </row>
    <row r="187" spans="1:12" x14ac:dyDescent="0.25">
      <c r="A187" s="1029"/>
      <c r="B187" s="55" t="s">
        <v>569</v>
      </c>
      <c r="C187" s="384">
        <v>0</v>
      </c>
      <c r="D187" s="391">
        <v>0</v>
      </c>
      <c r="E187" s="384">
        <v>0</v>
      </c>
      <c r="F187" s="384">
        <v>0</v>
      </c>
      <c r="G187" s="384">
        <v>0</v>
      </c>
    </row>
    <row r="188" spans="1:12" x14ac:dyDescent="0.25">
      <c r="A188" s="1029"/>
      <c r="B188" s="55" t="s">
        <v>410</v>
      </c>
      <c r="C188" s="384">
        <v>-31185</v>
      </c>
      <c r="D188" s="391">
        <v>-33841</v>
      </c>
      <c r="E188" s="384">
        <v>-35117</v>
      </c>
      <c r="F188" s="384">
        <v>-36405</v>
      </c>
      <c r="G188" s="384">
        <v>-37461</v>
      </c>
    </row>
    <row r="189" spans="1:12" x14ac:dyDescent="0.25">
      <c r="A189" s="1029"/>
      <c r="B189" s="163" t="s">
        <v>177</v>
      </c>
      <c r="C189" s="384">
        <f>-4797-15506-3740</f>
        <v>-24043</v>
      </c>
      <c r="D189" s="391">
        <f>-4183-14103-3820</f>
        <v>-22106</v>
      </c>
      <c r="E189" s="384">
        <f>-4272-13667-3909</f>
        <v>-21848</v>
      </c>
      <c r="F189" s="384">
        <f>-4369-13631-3999</f>
        <v>-21999</v>
      </c>
      <c r="G189" s="384">
        <f>-4468-14250-4092</f>
        <v>-22810</v>
      </c>
    </row>
    <row r="190" spans="1:12" x14ac:dyDescent="0.25">
      <c r="A190" s="1029"/>
      <c r="B190" s="163" t="s">
        <v>768</v>
      </c>
      <c r="C190" s="384">
        <v>0</v>
      </c>
      <c r="D190" s="391">
        <v>0</v>
      </c>
      <c r="E190" s="384">
        <v>0</v>
      </c>
      <c r="F190" s="384">
        <v>0</v>
      </c>
      <c r="G190" s="384">
        <v>0</v>
      </c>
    </row>
    <row r="191" spans="1:12" x14ac:dyDescent="0.25">
      <c r="A191" s="1029"/>
      <c r="B191" s="55" t="s">
        <v>413</v>
      </c>
      <c r="C191" s="384">
        <v>-5786</v>
      </c>
      <c r="D191" s="391">
        <v>-5529</v>
      </c>
      <c r="E191" s="384">
        <v>-5577</v>
      </c>
      <c r="F191" s="384">
        <v>-5549</v>
      </c>
      <c r="G191" s="384">
        <v>-5757</v>
      </c>
    </row>
    <row r="192" spans="1:12" ht="26.4" x14ac:dyDescent="0.25">
      <c r="A192" s="1029"/>
      <c r="B192" s="77" t="s">
        <v>769</v>
      </c>
      <c r="C192" s="410">
        <f>SUM(C177:C191)</f>
        <v>11922</v>
      </c>
      <c r="D192" s="411">
        <f>SUM(D177:D191)</f>
        <v>15459</v>
      </c>
      <c r="E192" s="410">
        <f>SUM(E177:E191)</f>
        <v>20492</v>
      </c>
      <c r="F192" s="410">
        <f>SUM(F177:F191)</f>
        <v>14052</v>
      </c>
      <c r="G192" s="410">
        <f>SUM(G177:G191)</f>
        <v>14687</v>
      </c>
    </row>
    <row r="193" spans="1:7" x14ac:dyDescent="0.25">
      <c r="A193" s="1029"/>
      <c r="B193" s="58"/>
      <c r="C193" s="396"/>
      <c r="D193" s="397"/>
      <c r="E193" s="396"/>
      <c r="F193" s="396"/>
      <c r="G193" s="396"/>
    </row>
    <row r="194" spans="1:7" x14ac:dyDescent="0.25">
      <c r="A194" s="1029"/>
      <c r="B194" s="77" t="s">
        <v>160</v>
      </c>
      <c r="C194" s="396"/>
      <c r="D194" s="397"/>
      <c r="E194" s="396"/>
      <c r="F194" s="396"/>
      <c r="G194" s="396"/>
    </row>
    <row r="195" spans="1:7" ht="26.4" x14ac:dyDescent="0.25">
      <c r="A195" s="1029"/>
      <c r="B195" s="163" t="s">
        <v>806</v>
      </c>
      <c r="C195" s="384">
        <v>-21007</v>
      </c>
      <c r="D195" s="391">
        <v>-29195</v>
      </c>
      <c r="E195" s="384">
        <v>-20881</v>
      </c>
      <c r="F195" s="384">
        <v>-16169</v>
      </c>
      <c r="G195" s="384">
        <v>-14859</v>
      </c>
    </row>
    <row r="196" spans="1:7" ht="26.4" x14ac:dyDescent="0.25">
      <c r="A196" s="1029"/>
      <c r="B196" s="203" t="s">
        <v>807</v>
      </c>
      <c r="C196" s="384">
        <v>1664</v>
      </c>
      <c r="D196" s="391">
        <v>3741</v>
      </c>
      <c r="E196" s="384">
        <v>2018</v>
      </c>
      <c r="F196" s="384">
        <v>2036</v>
      </c>
      <c r="G196" s="384">
        <v>2054</v>
      </c>
    </row>
    <row r="197" spans="1:7" x14ac:dyDescent="0.25">
      <c r="A197" s="1029"/>
      <c r="B197" s="55" t="s">
        <v>770</v>
      </c>
      <c r="C197" s="384">
        <v>0</v>
      </c>
      <c r="D197" s="391">
        <v>0</v>
      </c>
      <c r="E197" s="384">
        <v>0</v>
      </c>
      <c r="F197" s="384">
        <v>0</v>
      </c>
      <c r="G197" s="384">
        <v>0</v>
      </c>
    </row>
    <row r="198" spans="1:7" s="197" customFormat="1" x14ac:dyDescent="0.25">
      <c r="A198" s="1029"/>
      <c r="B198" s="198" t="s">
        <v>771</v>
      </c>
      <c r="C198" s="384">
        <v>0</v>
      </c>
      <c r="D198" s="391">
        <v>0</v>
      </c>
      <c r="E198" s="384">
        <v>0</v>
      </c>
      <c r="F198" s="384">
        <v>0</v>
      </c>
      <c r="G198" s="384">
        <v>0</v>
      </c>
    </row>
    <row r="199" spans="1:7" s="197" customFormat="1" x14ac:dyDescent="0.25">
      <c r="A199" s="1029"/>
      <c r="B199" s="198" t="s">
        <v>772</v>
      </c>
      <c r="C199" s="384">
        <v>0</v>
      </c>
      <c r="D199" s="391">
        <v>0</v>
      </c>
      <c r="E199" s="384">
        <v>0</v>
      </c>
      <c r="F199" s="384">
        <v>0</v>
      </c>
      <c r="G199" s="384">
        <v>0</v>
      </c>
    </row>
    <row r="200" spans="1:7" x14ac:dyDescent="0.25">
      <c r="A200" s="1029"/>
      <c r="B200" s="163" t="s">
        <v>773</v>
      </c>
      <c r="C200" s="384">
        <v>10</v>
      </c>
      <c r="D200" s="391">
        <v>199</v>
      </c>
      <c r="E200" s="384">
        <v>0</v>
      </c>
      <c r="F200" s="384">
        <v>0</v>
      </c>
      <c r="G200" s="384">
        <v>0</v>
      </c>
    </row>
    <row r="201" spans="1:7" ht="26.4" x14ac:dyDescent="0.25">
      <c r="A201" s="1029"/>
      <c r="B201" s="163" t="s">
        <v>808</v>
      </c>
      <c r="C201" s="410">
        <f>SUM(C195:C200)</f>
        <v>-19333</v>
      </c>
      <c r="D201" s="411">
        <f>SUM(D195:D200)</f>
        <v>-25255</v>
      </c>
      <c r="E201" s="410">
        <f>SUM(E195:E200)</f>
        <v>-18863</v>
      </c>
      <c r="F201" s="410">
        <f>SUM(F195:F200)</f>
        <v>-14133</v>
      </c>
      <c r="G201" s="410">
        <f>SUM(G195:G200)</f>
        <v>-12805</v>
      </c>
    </row>
    <row r="202" spans="1:7" x14ac:dyDescent="0.25">
      <c r="A202" s="1029"/>
      <c r="B202" s="58"/>
      <c r="C202" s="396"/>
      <c r="D202" s="397"/>
      <c r="E202" s="396"/>
      <c r="F202" s="396"/>
      <c r="G202" s="396"/>
    </row>
    <row r="203" spans="1:7" x14ac:dyDescent="0.25">
      <c r="A203" s="1029"/>
      <c r="B203" s="77" t="s">
        <v>17</v>
      </c>
      <c r="C203" s="396"/>
      <c r="D203" s="397"/>
      <c r="E203" s="396"/>
      <c r="F203" s="396"/>
      <c r="G203" s="396"/>
    </row>
    <row r="204" spans="1:7" x14ac:dyDescent="0.25">
      <c r="A204" s="1029"/>
      <c r="B204" s="58" t="s">
        <v>159</v>
      </c>
      <c r="C204" s="384">
        <v>-380</v>
      </c>
      <c r="D204" s="391">
        <v>-312</v>
      </c>
      <c r="E204" s="384">
        <v>-247</v>
      </c>
      <c r="F204" s="384">
        <v>-410</v>
      </c>
      <c r="G204" s="384">
        <v>-340</v>
      </c>
    </row>
    <row r="205" spans="1:7" x14ac:dyDescent="0.25">
      <c r="A205" s="1029"/>
      <c r="B205" s="58" t="s">
        <v>163</v>
      </c>
      <c r="C205" s="384">
        <v>0</v>
      </c>
      <c r="D205" s="391">
        <v>0</v>
      </c>
      <c r="E205" s="384">
        <v>0</v>
      </c>
      <c r="F205" s="384">
        <v>2000</v>
      </c>
      <c r="G205" s="384">
        <v>0</v>
      </c>
    </row>
    <row r="206" spans="1:7" x14ac:dyDescent="0.25">
      <c r="A206" s="1029"/>
      <c r="B206" s="58" t="s">
        <v>164</v>
      </c>
      <c r="C206" s="384">
        <v>-1161</v>
      </c>
      <c r="D206" s="391">
        <v>-1161</v>
      </c>
      <c r="E206" s="384">
        <v>-1161</v>
      </c>
      <c r="F206" s="384">
        <v>-1161</v>
      </c>
      <c r="G206" s="384">
        <v>-1290</v>
      </c>
    </row>
    <row r="207" spans="1:7" ht="26.4" x14ac:dyDescent="0.25">
      <c r="A207" s="1029"/>
      <c r="B207" s="163" t="s">
        <v>774</v>
      </c>
      <c r="C207" s="387">
        <f>SUM(C204:C206)</f>
        <v>-1541</v>
      </c>
      <c r="D207" s="388">
        <f>SUM(D204:D206)</f>
        <v>-1473</v>
      </c>
      <c r="E207" s="387">
        <f>SUM(E204:E206)</f>
        <v>-1408</v>
      </c>
      <c r="F207" s="387">
        <f>SUM(F204:F206)</f>
        <v>429</v>
      </c>
      <c r="G207" s="387">
        <f>SUM(G204:G206)</f>
        <v>-1630</v>
      </c>
    </row>
    <row r="208" spans="1:7" ht="26.4" x14ac:dyDescent="0.25">
      <c r="A208" s="1029"/>
      <c r="B208" s="77" t="s">
        <v>809</v>
      </c>
      <c r="C208" s="384">
        <f>+C207+C201+C192</f>
        <v>-8952</v>
      </c>
      <c r="D208" s="389">
        <f>+D207+D201+D192</f>
        <v>-11269</v>
      </c>
      <c r="E208" s="384">
        <f>+E207+E201+E192</f>
        <v>221</v>
      </c>
      <c r="F208" s="384">
        <f>+F207+F201+F192</f>
        <v>348</v>
      </c>
      <c r="G208" s="384">
        <f>+G207+G201+G192</f>
        <v>252</v>
      </c>
    </row>
    <row r="209" spans="1:15" ht="26.4" x14ac:dyDescent="0.25">
      <c r="A209" s="1029"/>
      <c r="B209" s="163" t="s">
        <v>1102</v>
      </c>
      <c r="C209" s="384">
        <v>32428</v>
      </c>
      <c r="D209" s="391">
        <v>23476</v>
      </c>
      <c r="E209" s="384">
        <v>12207</v>
      </c>
      <c r="F209" s="384">
        <v>12428</v>
      </c>
      <c r="G209" s="384">
        <v>12776</v>
      </c>
    </row>
    <row r="210" spans="1:15" ht="27" thickBot="1" x14ac:dyDescent="0.3">
      <c r="A210" s="1029"/>
      <c r="B210" s="77" t="s">
        <v>810</v>
      </c>
      <c r="C210" s="392">
        <f>+C209+C208</f>
        <v>23476</v>
      </c>
      <c r="D210" s="393">
        <f>+D209+D208</f>
        <v>12207</v>
      </c>
      <c r="E210" s="392">
        <f>+E209+E208</f>
        <v>12428</v>
      </c>
      <c r="F210" s="392">
        <f>+F209+F208</f>
        <v>12776</v>
      </c>
      <c r="G210" s="392">
        <f>+G209+G208</f>
        <v>13028</v>
      </c>
    </row>
    <row r="211" spans="1:15" ht="16.2" thickTop="1" x14ac:dyDescent="0.25">
      <c r="A211" s="1029"/>
      <c r="B211" s="76" t="s">
        <v>1000</v>
      </c>
      <c r="C211" s="54"/>
      <c r="D211" s="54"/>
      <c r="E211" s="54"/>
      <c r="F211" s="54"/>
      <c r="G211" s="54"/>
    </row>
    <row r="212" spans="1:15" ht="13.8" x14ac:dyDescent="0.25">
      <c r="A212" s="1029"/>
      <c r="B212" s="53" t="s">
        <v>1062</v>
      </c>
      <c r="C212" s="54"/>
      <c r="D212" s="54"/>
      <c r="E212" s="54"/>
      <c r="F212" s="54"/>
      <c r="G212" s="54"/>
    </row>
    <row r="213" spans="1:15" ht="13.8" x14ac:dyDescent="0.25">
      <c r="A213" s="1029"/>
      <c r="B213" s="53"/>
      <c r="C213" s="54"/>
      <c r="D213" s="54"/>
      <c r="E213" s="54"/>
      <c r="F213" s="54"/>
      <c r="G213" s="54"/>
    </row>
    <row r="214" spans="1:15" x14ac:dyDescent="0.25">
      <c r="A214" s="1029"/>
      <c r="B214" s="379"/>
      <c r="C214" s="379" t="s">
        <v>331</v>
      </c>
      <c r="D214" s="1030" t="s">
        <v>313</v>
      </c>
      <c r="E214" s="1031" t="s">
        <v>144</v>
      </c>
      <c r="F214" s="1031"/>
      <c r="G214" s="1031"/>
    </row>
    <row r="215" spans="1:15" x14ac:dyDescent="0.25">
      <c r="A215" s="1029"/>
      <c r="B215" s="379"/>
      <c r="C215" s="379" t="s">
        <v>332</v>
      </c>
      <c r="D215" s="1030"/>
      <c r="E215" s="1028" t="s">
        <v>145</v>
      </c>
      <c r="F215" s="1028"/>
      <c r="G215" s="1028"/>
    </row>
    <row r="216" spans="1:15" x14ac:dyDescent="0.25">
      <c r="A216" s="1029"/>
      <c r="B216" s="380"/>
      <c r="C216" s="380" t="s">
        <v>408</v>
      </c>
      <c r="D216" s="381" t="s">
        <v>409</v>
      </c>
      <c r="E216" s="382" t="s">
        <v>558</v>
      </c>
      <c r="F216" s="382" t="s">
        <v>734</v>
      </c>
      <c r="G216" s="382" t="s">
        <v>1063</v>
      </c>
    </row>
    <row r="217" spans="1:15" x14ac:dyDescent="0.25">
      <c r="A217" s="1029"/>
      <c r="B217" s="379"/>
      <c r="C217" s="379" t="s">
        <v>298</v>
      </c>
      <c r="D217" s="381" t="s">
        <v>298</v>
      </c>
      <c r="E217" s="381" t="s">
        <v>298</v>
      </c>
      <c r="F217" s="381" t="s">
        <v>298</v>
      </c>
      <c r="G217" s="381" t="s">
        <v>298</v>
      </c>
    </row>
    <row r="218" spans="1:15" x14ac:dyDescent="0.25">
      <c r="A218" s="1029"/>
      <c r="B218" s="84" t="s">
        <v>459</v>
      </c>
      <c r="C218" s="84"/>
      <c r="D218" s="412"/>
      <c r="E218" s="85"/>
      <c r="F218" s="85"/>
      <c r="G218" s="85"/>
    </row>
    <row r="219" spans="1:15" x14ac:dyDescent="0.25">
      <c r="A219" s="1029"/>
      <c r="B219" s="86" t="s">
        <v>443</v>
      </c>
      <c r="C219" s="415">
        <v>0</v>
      </c>
      <c r="D219" s="416">
        <v>0</v>
      </c>
      <c r="E219" s="415">
        <v>0</v>
      </c>
      <c r="F219" s="415">
        <v>0</v>
      </c>
      <c r="G219" s="415">
        <v>0</v>
      </c>
      <c r="K219" s="409"/>
      <c r="L219" s="303"/>
      <c r="M219" s="303"/>
      <c r="N219" s="303"/>
      <c r="O219" s="303"/>
    </row>
    <row r="220" spans="1:15" x14ac:dyDescent="0.25">
      <c r="A220" s="1029"/>
      <c r="B220" s="86" t="s">
        <v>444</v>
      </c>
      <c r="C220" s="417">
        <v>0</v>
      </c>
      <c r="D220" s="418">
        <v>0</v>
      </c>
      <c r="E220" s="417">
        <v>0</v>
      </c>
      <c r="F220" s="417">
        <v>0</v>
      </c>
      <c r="G220" s="417">
        <v>0</v>
      </c>
    </row>
    <row r="221" spans="1:15" x14ac:dyDescent="0.25">
      <c r="A221" s="1029"/>
      <c r="B221" s="84" t="s">
        <v>570</v>
      </c>
      <c r="C221" s="419">
        <f>SUM(C219:C220)</f>
        <v>0</v>
      </c>
      <c r="D221" s="420">
        <f>SUM(D219:D220)</f>
        <v>0</v>
      </c>
      <c r="E221" s="419">
        <f>SUM(E219:E220)</f>
        <v>0</v>
      </c>
      <c r="F221" s="419">
        <f>SUM(F219:F220)</f>
        <v>0</v>
      </c>
      <c r="G221" s="419">
        <f>SUM(G219:G220)</f>
        <v>0</v>
      </c>
    </row>
    <row r="222" spans="1:15" x14ac:dyDescent="0.25">
      <c r="A222" s="1029"/>
      <c r="B222" s="86" t="s">
        <v>31</v>
      </c>
      <c r="C222" s="415">
        <v>10678</v>
      </c>
      <c r="D222" s="416">
        <v>13368</v>
      </c>
      <c r="E222" s="415">
        <v>10114</v>
      </c>
      <c r="F222" s="415">
        <v>8064</v>
      </c>
      <c r="G222" s="415">
        <v>7550</v>
      </c>
    </row>
    <row r="223" spans="1:15" s="200" customFormat="1" x14ac:dyDescent="0.25">
      <c r="A223" s="1029"/>
      <c r="B223" s="86" t="s">
        <v>572</v>
      </c>
      <c r="C223" s="415">
        <v>0</v>
      </c>
      <c r="D223" s="416">
        <v>0</v>
      </c>
      <c r="E223" s="415">
        <v>0</v>
      </c>
      <c r="F223" s="415">
        <v>0</v>
      </c>
      <c r="G223" s="415">
        <v>0</v>
      </c>
    </row>
    <row r="224" spans="1:15" x14ac:dyDescent="0.25">
      <c r="A224" s="1029"/>
      <c r="B224" s="86" t="s">
        <v>445</v>
      </c>
      <c r="C224" s="415">
        <v>75</v>
      </c>
      <c r="D224" s="416">
        <v>117</v>
      </c>
      <c r="E224" s="415">
        <v>89</v>
      </c>
      <c r="F224" s="415">
        <v>71</v>
      </c>
      <c r="G224" s="415">
        <v>66</v>
      </c>
    </row>
    <row r="225" spans="1:7" x14ac:dyDescent="0.25">
      <c r="A225" s="1029"/>
      <c r="B225" s="86" t="s">
        <v>571</v>
      </c>
      <c r="C225" s="415">
        <v>0</v>
      </c>
      <c r="D225" s="416">
        <v>0</v>
      </c>
      <c r="E225" s="415">
        <v>0</v>
      </c>
      <c r="F225" s="415">
        <v>0</v>
      </c>
      <c r="G225" s="415">
        <v>0</v>
      </c>
    </row>
    <row r="226" spans="1:7" x14ac:dyDescent="0.25">
      <c r="A226" s="1029"/>
      <c r="B226" s="84" t="s">
        <v>573</v>
      </c>
      <c r="C226" s="419">
        <f>SUM(C222:C225)</f>
        <v>10753</v>
      </c>
      <c r="D226" s="420">
        <f>SUM(D222:D225)</f>
        <v>13485</v>
      </c>
      <c r="E226" s="419">
        <f>SUM(E222:E225)</f>
        <v>10203</v>
      </c>
      <c r="F226" s="419">
        <f>SUM(F222:F225)</f>
        <v>8135</v>
      </c>
      <c r="G226" s="419">
        <f>SUM(G222:G225)</f>
        <v>7616</v>
      </c>
    </row>
    <row r="227" spans="1:7" x14ac:dyDescent="0.25">
      <c r="A227" s="1029"/>
      <c r="B227" s="84" t="s">
        <v>574</v>
      </c>
      <c r="C227" s="421">
        <f>SUM(C221,C226)</f>
        <v>10753</v>
      </c>
      <c r="D227" s="422">
        <f>SUM(D221,D226)</f>
        <v>13485</v>
      </c>
      <c r="E227" s="421">
        <f>SUM(E221,E226)</f>
        <v>10203</v>
      </c>
      <c r="F227" s="421">
        <f>SUM(F221,F226)</f>
        <v>8135</v>
      </c>
      <c r="G227" s="421">
        <f>SUM(G221,G226)</f>
        <v>7616</v>
      </c>
    </row>
    <row r="228" spans="1:7" x14ac:dyDescent="0.25">
      <c r="A228" s="1029"/>
      <c r="B228" s="84" t="s">
        <v>460</v>
      </c>
      <c r="C228" s="423"/>
      <c r="D228" s="424"/>
      <c r="E228" s="423"/>
      <c r="F228" s="423"/>
      <c r="G228" s="423"/>
    </row>
    <row r="229" spans="1:7" s="200" customFormat="1" x14ac:dyDescent="0.25">
      <c r="A229" s="1029"/>
      <c r="B229" s="86" t="s">
        <v>575</v>
      </c>
      <c r="C229" s="423">
        <v>0</v>
      </c>
      <c r="D229" s="424">
        <v>0</v>
      </c>
      <c r="E229" s="423">
        <v>0</v>
      </c>
      <c r="F229" s="423">
        <v>0</v>
      </c>
      <c r="G229" s="423">
        <v>0</v>
      </c>
    </row>
    <row r="230" spans="1:7" x14ac:dyDescent="0.25">
      <c r="A230" s="1029"/>
      <c r="B230" s="86" t="s">
        <v>447</v>
      </c>
      <c r="C230" s="415">
        <v>2093</v>
      </c>
      <c r="D230" s="416">
        <v>3179</v>
      </c>
      <c r="E230" s="415">
        <v>2406</v>
      </c>
      <c r="F230" s="415">
        <v>1917</v>
      </c>
      <c r="G230" s="415">
        <v>1796</v>
      </c>
    </row>
    <row r="231" spans="1:7" x14ac:dyDescent="0.25">
      <c r="A231" s="1029"/>
      <c r="B231" s="86" t="s">
        <v>448</v>
      </c>
      <c r="C231" s="415">
        <v>0</v>
      </c>
      <c r="D231" s="416">
        <v>0</v>
      </c>
      <c r="E231" s="415">
        <v>0</v>
      </c>
      <c r="F231" s="415">
        <v>0</v>
      </c>
      <c r="G231" s="415">
        <v>0</v>
      </c>
    </row>
    <row r="232" spans="1:7" x14ac:dyDescent="0.25">
      <c r="A232" s="1029"/>
      <c r="B232" s="86" t="s">
        <v>449</v>
      </c>
      <c r="C232" s="415">
        <v>1687</v>
      </c>
      <c r="D232" s="416">
        <v>2112</v>
      </c>
      <c r="E232" s="415">
        <v>1598</v>
      </c>
      <c r="F232" s="415">
        <v>1274</v>
      </c>
      <c r="G232" s="415">
        <v>1193</v>
      </c>
    </row>
    <row r="233" spans="1:7" x14ac:dyDescent="0.25">
      <c r="A233" s="1029"/>
      <c r="B233" s="86" t="s">
        <v>450</v>
      </c>
      <c r="C233" s="417">
        <v>318</v>
      </c>
      <c r="D233" s="418">
        <v>500</v>
      </c>
      <c r="E233" s="417">
        <v>378</v>
      </c>
      <c r="F233" s="417">
        <v>302</v>
      </c>
      <c r="G233" s="417">
        <v>282</v>
      </c>
    </row>
    <row r="234" spans="1:7" x14ac:dyDescent="0.25">
      <c r="A234" s="1029"/>
      <c r="B234" s="84" t="s">
        <v>576</v>
      </c>
      <c r="C234" s="419">
        <f>SUM(C229:C233)</f>
        <v>4098</v>
      </c>
      <c r="D234" s="411">
        <f t="shared" ref="D234:G234" si="2">SUM(D229:D233)</f>
        <v>5791</v>
      </c>
      <c r="E234" s="419">
        <f t="shared" si="2"/>
        <v>4382</v>
      </c>
      <c r="F234" s="419">
        <f t="shared" si="2"/>
        <v>3493</v>
      </c>
      <c r="G234" s="419">
        <f t="shared" si="2"/>
        <v>3271</v>
      </c>
    </row>
    <row r="235" spans="1:7" x14ac:dyDescent="0.25">
      <c r="A235" s="1029"/>
      <c r="B235" s="84" t="s">
        <v>461</v>
      </c>
      <c r="C235" s="423"/>
      <c r="D235" s="424"/>
      <c r="E235" s="423"/>
      <c r="F235" s="423"/>
      <c r="G235" s="423"/>
    </row>
    <row r="236" spans="1:7" x14ac:dyDescent="0.25">
      <c r="A236" s="1029"/>
      <c r="B236" s="86" t="s">
        <v>30</v>
      </c>
      <c r="C236" s="415">
        <v>3598</v>
      </c>
      <c r="D236" s="416">
        <v>5367</v>
      </c>
      <c r="E236" s="415">
        <v>4061</v>
      </c>
      <c r="F236" s="415">
        <v>3239</v>
      </c>
      <c r="G236" s="415">
        <v>3031</v>
      </c>
    </row>
    <row r="237" spans="1:7" x14ac:dyDescent="0.25">
      <c r="A237" s="1029"/>
      <c r="B237" s="86" t="s">
        <v>452</v>
      </c>
      <c r="C237" s="415">
        <v>6</v>
      </c>
      <c r="D237" s="416">
        <v>10</v>
      </c>
      <c r="E237" s="415">
        <v>8</v>
      </c>
      <c r="F237" s="415">
        <v>6</v>
      </c>
      <c r="G237" s="415">
        <v>6</v>
      </c>
    </row>
    <row r="238" spans="1:7" x14ac:dyDescent="0.25">
      <c r="A238" s="1029"/>
      <c r="B238" s="86" t="s">
        <v>453</v>
      </c>
      <c r="C238" s="415">
        <v>577</v>
      </c>
      <c r="D238" s="416">
        <v>681</v>
      </c>
      <c r="E238" s="415">
        <v>515</v>
      </c>
      <c r="F238" s="415">
        <v>411</v>
      </c>
      <c r="G238" s="415">
        <v>385</v>
      </c>
    </row>
    <row r="239" spans="1:7" x14ac:dyDescent="0.25">
      <c r="A239" s="1029"/>
      <c r="B239" s="86" t="s">
        <v>363</v>
      </c>
      <c r="C239" s="415">
        <v>1301</v>
      </c>
      <c r="D239" s="416">
        <v>1885</v>
      </c>
      <c r="E239" s="415">
        <v>1426</v>
      </c>
      <c r="F239" s="415">
        <v>1137</v>
      </c>
      <c r="G239" s="415">
        <v>1065</v>
      </c>
    </row>
    <row r="240" spans="1:7" ht="26.4" x14ac:dyDescent="0.25">
      <c r="A240" s="1029"/>
      <c r="B240" s="86" t="s">
        <v>577</v>
      </c>
      <c r="C240" s="415">
        <v>405</v>
      </c>
      <c r="D240" s="416">
        <v>629</v>
      </c>
      <c r="E240" s="415">
        <v>476</v>
      </c>
      <c r="F240" s="415">
        <v>379</v>
      </c>
      <c r="G240" s="415">
        <v>355</v>
      </c>
    </row>
    <row r="241" spans="1:7" x14ac:dyDescent="0.25">
      <c r="A241" s="1029"/>
      <c r="B241" s="86" t="s">
        <v>455</v>
      </c>
      <c r="C241" s="415">
        <v>0</v>
      </c>
      <c r="D241" s="416">
        <v>0</v>
      </c>
      <c r="E241" s="415">
        <v>0</v>
      </c>
      <c r="F241" s="415">
        <v>0</v>
      </c>
      <c r="G241" s="415">
        <v>0</v>
      </c>
    </row>
    <row r="242" spans="1:7" x14ac:dyDescent="0.25">
      <c r="A242" s="1029"/>
      <c r="B242" s="86" t="s">
        <v>456</v>
      </c>
      <c r="C242" s="415">
        <v>1686</v>
      </c>
      <c r="D242" s="416">
        <v>2614</v>
      </c>
      <c r="E242" s="415">
        <v>1978</v>
      </c>
      <c r="F242" s="415">
        <v>1577</v>
      </c>
      <c r="G242" s="415">
        <v>1476</v>
      </c>
    </row>
    <row r="243" spans="1:7" x14ac:dyDescent="0.25">
      <c r="A243" s="1029"/>
      <c r="B243" s="86" t="s">
        <v>578</v>
      </c>
      <c r="C243" s="415">
        <v>0</v>
      </c>
      <c r="D243" s="416">
        <v>0</v>
      </c>
      <c r="E243" s="415">
        <v>0</v>
      </c>
      <c r="F243" s="415">
        <v>0</v>
      </c>
      <c r="G243" s="415">
        <v>0</v>
      </c>
    </row>
    <row r="244" spans="1:7" x14ac:dyDescent="0.25">
      <c r="A244" s="1029"/>
      <c r="B244" s="86" t="s">
        <v>457</v>
      </c>
      <c r="C244" s="415">
        <v>88</v>
      </c>
      <c r="D244" s="416">
        <v>115</v>
      </c>
      <c r="E244" s="415">
        <v>87</v>
      </c>
      <c r="F244" s="415">
        <v>69</v>
      </c>
      <c r="G244" s="415">
        <v>65</v>
      </c>
    </row>
    <row r="245" spans="1:7" x14ac:dyDescent="0.25">
      <c r="A245" s="1029"/>
      <c r="B245" s="86" t="s">
        <v>579</v>
      </c>
      <c r="C245" s="421">
        <v>105</v>
      </c>
      <c r="D245" s="425">
        <v>140</v>
      </c>
      <c r="E245" s="421">
        <v>106</v>
      </c>
      <c r="F245" s="421">
        <v>84</v>
      </c>
      <c r="G245" s="421">
        <v>79</v>
      </c>
    </row>
    <row r="246" spans="1:7" x14ac:dyDescent="0.25">
      <c r="A246" s="1029"/>
      <c r="B246" s="84" t="s">
        <v>580</v>
      </c>
      <c r="C246" s="415">
        <f>SUM(C236:C245)</f>
        <v>7766</v>
      </c>
      <c r="D246" s="424">
        <f>SUM(D236:D245)</f>
        <v>11441</v>
      </c>
      <c r="E246" s="415">
        <f>SUM(E236:E245)</f>
        <v>8657</v>
      </c>
      <c r="F246" s="415">
        <f>SUM(F236:F245)</f>
        <v>6902</v>
      </c>
      <c r="G246" s="415">
        <f>SUM(G236:G245)</f>
        <v>6462</v>
      </c>
    </row>
    <row r="247" spans="1:7" ht="13.8" thickBot="1" x14ac:dyDescent="0.3">
      <c r="A247" s="1029"/>
      <c r="B247" s="84" t="s">
        <v>469</v>
      </c>
      <c r="C247" s="426">
        <f>SUM(C227,C234,C246)</f>
        <v>22617</v>
      </c>
      <c r="D247" s="427">
        <f>SUM(D227,D234,D246)</f>
        <v>30717</v>
      </c>
      <c r="E247" s="426">
        <f>SUM(E227,E234,E246)</f>
        <v>23242</v>
      </c>
      <c r="F247" s="426">
        <f>SUM(F227,F234,F246)</f>
        <v>18530</v>
      </c>
      <c r="G247" s="426">
        <f>SUM(G227,G234,G246)</f>
        <v>17349</v>
      </c>
    </row>
    <row r="248" spans="1:7" ht="13.8" thickTop="1" x14ac:dyDescent="0.25">
      <c r="A248" s="1029"/>
      <c r="B248" s="86"/>
      <c r="C248" s="423"/>
      <c r="D248" s="428"/>
      <c r="E248" s="423"/>
      <c r="F248" s="423"/>
      <c r="G248" s="423"/>
    </row>
    <row r="249" spans="1:7" x14ac:dyDescent="0.25">
      <c r="A249" s="1029"/>
      <c r="B249" s="84" t="s">
        <v>167</v>
      </c>
      <c r="C249" s="423"/>
      <c r="D249" s="428"/>
      <c r="E249" s="423"/>
      <c r="F249" s="423"/>
      <c r="G249" s="423"/>
    </row>
    <row r="250" spans="1:7" x14ac:dyDescent="0.25">
      <c r="A250" s="1029"/>
      <c r="B250" s="86" t="s">
        <v>581</v>
      </c>
      <c r="C250" s="415">
        <v>6850</v>
      </c>
      <c r="D250" s="424">
        <v>9176</v>
      </c>
      <c r="E250" s="415">
        <v>5767</v>
      </c>
      <c r="F250" s="415">
        <v>3296</v>
      </c>
      <c r="G250" s="415">
        <v>2791</v>
      </c>
    </row>
    <row r="251" spans="1:7" x14ac:dyDescent="0.25">
      <c r="A251" s="1029"/>
      <c r="B251" s="86" t="s">
        <v>432</v>
      </c>
      <c r="C251" s="415">
        <v>12225</v>
      </c>
      <c r="D251" s="424">
        <v>17454</v>
      </c>
      <c r="E251" s="415">
        <v>15928</v>
      </c>
      <c r="F251" s="415">
        <v>13145</v>
      </c>
      <c r="G251" s="415">
        <v>13560</v>
      </c>
    </row>
    <row r="252" spans="1:7" x14ac:dyDescent="0.25">
      <c r="A252" s="1029"/>
      <c r="B252" s="86" t="s">
        <v>582</v>
      </c>
      <c r="C252" s="415">
        <v>2190</v>
      </c>
      <c r="D252" s="424">
        <v>3455</v>
      </c>
      <c r="E252" s="415">
        <v>702</v>
      </c>
      <c r="F252" s="415">
        <v>857</v>
      </c>
      <c r="G252" s="415">
        <v>268</v>
      </c>
    </row>
    <row r="253" spans="1:7" x14ac:dyDescent="0.25">
      <c r="A253" s="1029"/>
      <c r="B253" s="86" t="s">
        <v>583</v>
      </c>
      <c r="C253" s="417">
        <v>1352</v>
      </c>
      <c r="D253" s="429">
        <v>632</v>
      </c>
      <c r="E253" s="417">
        <v>845</v>
      </c>
      <c r="F253" s="417">
        <v>1232</v>
      </c>
      <c r="G253" s="417">
        <v>730</v>
      </c>
    </row>
    <row r="254" spans="1:7" ht="13.8" thickBot="1" x14ac:dyDescent="0.3">
      <c r="A254" s="1029"/>
      <c r="B254" s="84" t="s">
        <v>469</v>
      </c>
      <c r="C254" s="426">
        <f>SUM(C250:C253)</f>
        <v>22617</v>
      </c>
      <c r="D254" s="427">
        <f>SUM(D250:D253)</f>
        <v>30717</v>
      </c>
      <c r="E254" s="426">
        <f>SUM(E250:E253)</f>
        <v>23242</v>
      </c>
      <c r="F254" s="426">
        <f>SUM(F250:F253)</f>
        <v>18530</v>
      </c>
      <c r="G254" s="426">
        <f>SUM(G250:G253)</f>
        <v>17349</v>
      </c>
    </row>
    <row r="255" spans="1:7" ht="13.8" thickTop="1" x14ac:dyDescent="0.25">
      <c r="A255" s="1005" t="s">
        <v>823</v>
      </c>
    </row>
    <row r="256" spans="1:7" ht="15.6" x14ac:dyDescent="0.25">
      <c r="A256" s="1029"/>
      <c r="B256" s="76" t="s">
        <v>1001</v>
      </c>
      <c r="C256" s="54"/>
      <c r="D256" s="54"/>
      <c r="E256" s="54"/>
      <c r="F256" s="54"/>
      <c r="G256" s="54"/>
    </row>
    <row r="257" spans="1:7" ht="13.8" x14ac:dyDescent="0.25">
      <c r="A257" s="1029"/>
      <c r="B257" s="53" t="s">
        <v>1062</v>
      </c>
      <c r="C257" s="54"/>
      <c r="D257" s="54"/>
      <c r="E257" s="54"/>
      <c r="F257" s="54"/>
      <c r="G257" s="54"/>
    </row>
    <row r="258" spans="1:7" ht="13.8" x14ac:dyDescent="0.25">
      <c r="A258" s="1029"/>
      <c r="B258" s="53"/>
      <c r="C258" s="54"/>
      <c r="D258" s="54"/>
      <c r="E258" s="54"/>
      <c r="F258" s="54"/>
      <c r="G258" s="54"/>
    </row>
    <row r="259" spans="1:7" x14ac:dyDescent="0.25">
      <c r="A259" s="1029"/>
      <c r="B259" s="379"/>
      <c r="C259" s="379" t="s">
        <v>331</v>
      </c>
      <c r="D259" s="1030" t="s">
        <v>313</v>
      </c>
      <c r="E259" s="1031" t="s">
        <v>144</v>
      </c>
      <c r="F259" s="1031"/>
      <c r="G259" s="1031"/>
    </row>
    <row r="260" spans="1:7" x14ac:dyDescent="0.25">
      <c r="A260" s="1029"/>
      <c r="B260" s="379"/>
      <c r="C260" s="379" t="s">
        <v>332</v>
      </c>
      <c r="D260" s="1030"/>
      <c r="E260" s="1028" t="s">
        <v>145</v>
      </c>
      <c r="F260" s="1028"/>
      <c r="G260" s="1028"/>
    </row>
    <row r="261" spans="1:7" x14ac:dyDescent="0.25">
      <c r="A261" s="1029"/>
      <c r="B261" s="380"/>
      <c r="C261" s="380" t="s">
        <v>408</v>
      </c>
      <c r="D261" s="381" t="s">
        <v>409</v>
      </c>
      <c r="E261" s="382" t="s">
        <v>558</v>
      </c>
      <c r="F261" s="382" t="s">
        <v>734</v>
      </c>
      <c r="G261" s="382" t="s">
        <v>1063</v>
      </c>
    </row>
    <row r="262" spans="1:7" x14ac:dyDescent="0.25">
      <c r="A262" s="1029"/>
      <c r="B262" s="379"/>
      <c r="C262" s="379" t="s">
        <v>298</v>
      </c>
      <c r="D262" s="381" t="s">
        <v>298</v>
      </c>
      <c r="E262" s="381" t="s">
        <v>298</v>
      </c>
      <c r="F262" s="381" t="s">
        <v>298</v>
      </c>
      <c r="G262" s="381" t="s">
        <v>298</v>
      </c>
    </row>
    <row r="263" spans="1:7" x14ac:dyDescent="0.25">
      <c r="A263" s="1029"/>
      <c r="B263" s="84" t="s">
        <v>584</v>
      </c>
      <c r="C263" s="84"/>
      <c r="D263" s="412"/>
      <c r="E263" s="86"/>
      <c r="F263" s="86"/>
      <c r="G263" s="86"/>
    </row>
    <row r="264" spans="1:7" x14ac:dyDescent="0.25">
      <c r="A264" s="1029"/>
      <c r="B264" s="86" t="s">
        <v>585</v>
      </c>
      <c r="C264" s="415">
        <v>31541</v>
      </c>
      <c r="D264" s="424">
        <v>34091</v>
      </c>
      <c r="E264" s="415">
        <v>35367</v>
      </c>
      <c r="F264" s="415">
        <v>36655</v>
      </c>
      <c r="G264" s="415">
        <v>37711</v>
      </c>
    </row>
    <row r="265" spans="1:7" ht="13.8" thickBot="1" x14ac:dyDescent="0.3">
      <c r="A265" s="1029"/>
      <c r="B265" s="86" t="s">
        <v>586</v>
      </c>
      <c r="C265" s="430">
        <v>0</v>
      </c>
      <c r="D265" s="435">
        <v>0</v>
      </c>
      <c r="E265" s="430">
        <v>0</v>
      </c>
      <c r="F265" s="430">
        <v>0</v>
      </c>
      <c r="G265" s="430">
        <v>0</v>
      </c>
    </row>
    <row r="266" spans="1:7" ht="13.8" thickBot="1" x14ac:dyDescent="0.3">
      <c r="A266" s="1029"/>
      <c r="B266" s="84" t="s">
        <v>587</v>
      </c>
      <c r="C266" s="431">
        <f>SUM(C264:C265)</f>
        <v>31541</v>
      </c>
      <c r="D266" s="436">
        <f>SUM(D264:D265)</f>
        <v>34091</v>
      </c>
      <c r="E266" s="431">
        <f>SUM(E264:E265)</f>
        <v>35367</v>
      </c>
      <c r="F266" s="431">
        <f>SUM(F264:F265)</f>
        <v>36655</v>
      </c>
      <c r="G266" s="431">
        <f>SUM(G264:G265)</f>
        <v>37711</v>
      </c>
    </row>
    <row r="267" spans="1:7" ht="13.8" thickTop="1" x14ac:dyDescent="0.25">
      <c r="A267" s="1029"/>
      <c r="B267" s="86"/>
      <c r="C267" s="85"/>
      <c r="D267" s="414"/>
      <c r="E267" s="85"/>
      <c r="F267" s="85"/>
      <c r="G267" s="85"/>
    </row>
    <row r="268" spans="1:7" x14ac:dyDescent="0.25">
      <c r="A268" s="1029"/>
      <c r="B268" s="86"/>
      <c r="C268" s="85" t="s">
        <v>588</v>
      </c>
      <c r="D268" s="414" t="s">
        <v>588</v>
      </c>
      <c r="E268" s="85" t="s">
        <v>588</v>
      </c>
      <c r="F268" s="85" t="s">
        <v>588</v>
      </c>
      <c r="G268" s="85" t="s">
        <v>588</v>
      </c>
    </row>
    <row r="269" spans="1:7" x14ac:dyDescent="0.25">
      <c r="A269" s="1029"/>
      <c r="B269" s="84" t="s">
        <v>589</v>
      </c>
      <c r="C269" s="85"/>
      <c r="D269" s="414"/>
      <c r="E269" s="85"/>
      <c r="F269" s="85"/>
      <c r="G269" s="85"/>
    </row>
    <row r="270" spans="1:7" ht="13.8" thickBot="1" x14ac:dyDescent="0.3">
      <c r="A270" s="1029"/>
      <c r="B270" s="86" t="s">
        <v>590</v>
      </c>
      <c r="C270" s="432">
        <v>567.4</v>
      </c>
      <c r="D270" s="437">
        <v>568.29999999999995</v>
      </c>
      <c r="E270" s="432">
        <v>570.20000000000005</v>
      </c>
      <c r="F270" s="432">
        <v>573.4</v>
      </c>
      <c r="G270" s="432">
        <v>575</v>
      </c>
    </row>
    <row r="271" spans="1:7" ht="13.8" thickBot="1" x14ac:dyDescent="0.3">
      <c r="A271" s="216"/>
      <c r="B271" s="86" t="s">
        <v>591</v>
      </c>
      <c r="C271" s="433">
        <f>SUM(C270)</f>
        <v>567.4</v>
      </c>
      <c r="D271" s="438">
        <f>SUM(D270)</f>
        <v>568.29999999999995</v>
      </c>
      <c r="E271" s="433">
        <f>SUM(E270)</f>
        <v>570.20000000000005</v>
      </c>
      <c r="F271" s="433">
        <f>SUM(F270)</f>
        <v>573.4</v>
      </c>
      <c r="G271" s="433">
        <f>SUM(G270)</f>
        <v>575</v>
      </c>
    </row>
    <row r="272" spans="1:7" ht="13.8" thickTop="1" x14ac:dyDescent="0.25">
      <c r="A272" s="216"/>
    </row>
    <row r="273" spans="1:8" ht="25.5" customHeight="1" x14ac:dyDescent="0.25">
      <c r="A273" s="1029" t="s">
        <v>994</v>
      </c>
      <c r="B273" s="974" t="s">
        <v>642</v>
      </c>
      <c r="C273" s="1034"/>
      <c r="D273" s="1035"/>
      <c r="E273" s="1035"/>
      <c r="F273" s="1035"/>
      <c r="G273" s="1035"/>
      <c r="H273" s="1035"/>
    </row>
    <row r="274" spans="1:8" x14ac:dyDescent="0.25">
      <c r="A274" s="1029"/>
      <c r="B274" s="8"/>
      <c r="C274" s="8"/>
      <c r="D274" s="3"/>
      <c r="E274" s="3"/>
      <c r="F274" s="3"/>
      <c r="G274" s="3"/>
      <c r="H274" s="3"/>
    </row>
    <row r="275" spans="1:8" x14ac:dyDescent="0.25">
      <c r="A275" s="1029"/>
      <c r="B275" s="434"/>
      <c r="C275" s="434"/>
      <c r="D275" s="434"/>
      <c r="E275" s="380"/>
      <c r="F275" s="1033" t="s">
        <v>610</v>
      </c>
      <c r="G275" s="1033"/>
      <c r="H275" s="3"/>
    </row>
    <row r="276" spans="1:8" x14ac:dyDescent="0.25">
      <c r="A276" s="1029"/>
      <c r="B276" s="434"/>
      <c r="C276" s="434"/>
      <c r="D276" s="434"/>
      <c r="E276" s="380" t="s">
        <v>313</v>
      </c>
      <c r="F276" s="379" t="s">
        <v>182</v>
      </c>
      <c r="G276" s="379" t="s">
        <v>182</v>
      </c>
      <c r="H276" s="3"/>
    </row>
    <row r="277" spans="1:8" x14ac:dyDescent="0.25">
      <c r="A277" s="1029"/>
      <c r="B277" s="434" t="s">
        <v>619</v>
      </c>
      <c r="C277" s="434"/>
      <c r="D277" s="434"/>
      <c r="E277" s="380" t="s">
        <v>409</v>
      </c>
      <c r="F277" s="380" t="s">
        <v>612</v>
      </c>
      <c r="G277" s="380" t="s">
        <v>611</v>
      </c>
      <c r="H277" s="3"/>
    </row>
    <row r="278" spans="1:8" x14ac:dyDescent="0.25">
      <c r="A278" s="1029"/>
      <c r="B278" s="434"/>
      <c r="C278" s="434"/>
      <c r="D278" s="434"/>
      <c r="E278" s="380" t="s">
        <v>353</v>
      </c>
      <c r="F278" s="380" t="s">
        <v>353</v>
      </c>
      <c r="G278" s="380" t="s">
        <v>353</v>
      </c>
      <c r="H278" s="3"/>
    </row>
    <row r="279" spans="1:8" x14ac:dyDescent="0.25">
      <c r="A279" s="1029"/>
      <c r="B279" s="254" t="s">
        <v>613</v>
      </c>
      <c r="C279" s="257"/>
      <c r="D279" s="257"/>
      <c r="E279" s="413">
        <v>2500</v>
      </c>
      <c r="F279" s="415">
        <v>2000</v>
      </c>
      <c r="G279" s="415">
        <v>500</v>
      </c>
      <c r="H279" s="3"/>
    </row>
    <row r="280" spans="1:8" x14ac:dyDescent="0.25">
      <c r="A280" s="1029"/>
      <c r="B280" s="101" t="s">
        <v>305</v>
      </c>
      <c r="C280" s="257"/>
      <c r="D280" s="257"/>
      <c r="E280" s="413">
        <v>7200</v>
      </c>
      <c r="F280" s="415">
        <v>7000</v>
      </c>
      <c r="G280" s="415">
        <v>200</v>
      </c>
      <c r="H280" s="3"/>
    </row>
    <row r="281" spans="1:8" x14ac:dyDescent="0.25">
      <c r="A281" s="1029"/>
      <c r="B281" s="112" t="s">
        <v>309</v>
      </c>
      <c r="C281" s="257"/>
      <c r="D281" s="257"/>
      <c r="E281" s="413">
        <v>8500</v>
      </c>
      <c r="F281" s="415">
        <v>7000</v>
      </c>
      <c r="G281" s="415">
        <v>1500</v>
      </c>
      <c r="H281" s="3"/>
    </row>
    <row r="282" spans="1:8" x14ac:dyDescent="0.25">
      <c r="A282" s="1029"/>
      <c r="B282" s="101" t="s">
        <v>614</v>
      </c>
      <c r="C282" s="257"/>
      <c r="D282" s="257"/>
      <c r="E282" s="413">
        <v>4400</v>
      </c>
      <c r="F282" s="415">
        <v>4000</v>
      </c>
      <c r="G282" s="415">
        <v>400</v>
      </c>
      <c r="H282" s="3"/>
    </row>
    <row r="283" spans="1:8" x14ac:dyDescent="0.25">
      <c r="A283" s="1029"/>
      <c r="B283" s="112" t="s">
        <v>615</v>
      </c>
      <c r="C283" s="257"/>
      <c r="D283" s="257"/>
      <c r="E283" s="413">
        <v>5300</v>
      </c>
      <c r="F283" s="415">
        <v>5000</v>
      </c>
      <c r="G283" s="415">
        <v>300</v>
      </c>
      <c r="H283" s="3"/>
    </row>
    <row r="284" spans="1:8" x14ac:dyDescent="0.25">
      <c r="A284" s="1029"/>
      <c r="B284" s="101" t="s">
        <v>616</v>
      </c>
      <c r="C284" s="257"/>
      <c r="D284" s="257"/>
      <c r="E284" s="413">
        <v>1900</v>
      </c>
      <c r="F284" s="415">
        <v>1000</v>
      </c>
      <c r="G284" s="415">
        <v>900</v>
      </c>
      <c r="H284" s="3"/>
    </row>
    <row r="285" spans="1:8" x14ac:dyDescent="0.25">
      <c r="A285" s="1029"/>
      <c r="B285" s="154" t="s">
        <v>617</v>
      </c>
      <c r="C285" s="916"/>
      <c r="D285" s="916"/>
      <c r="E285" s="439">
        <v>3100</v>
      </c>
      <c r="F285" s="421">
        <v>3000</v>
      </c>
      <c r="G285" s="421">
        <v>100</v>
      </c>
      <c r="H285" s="3"/>
    </row>
    <row r="286" spans="1:8" x14ac:dyDescent="0.25">
      <c r="A286" s="1029"/>
      <c r="B286" s="1036" t="s">
        <v>672</v>
      </c>
      <c r="C286" s="1037"/>
      <c r="D286" s="1037"/>
      <c r="E286" s="413">
        <f>SUM(E279:E285)</f>
        <v>32900</v>
      </c>
      <c r="F286" s="415">
        <f>SUM(F279:F285)</f>
        <v>29000</v>
      </c>
      <c r="G286" s="415">
        <f>SUM(G279:G285)</f>
        <v>3900</v>
      </c>
      <c r="H286" s="3"/>
    </row>
    <row r="287" spans="1:8" x14ac:dyDescent="0.25">
      <c r="A287" s="1029"/>
      <c r="B287" s="1038" t="s">
        <v>668</v>
      </c>
      <c r="C287" s="1039"/>
      <c r="D287" s="1039"/>
      <c r="E287" s="440">
        <v>1191</v>
      </c>
      <c r="F287" s="172"/>
      <c r="G287" s="172"/>
      <c r="H287" s="171"/>
    </row>
    <row r="288" spans="1:8" x14ac:dyDescent="0.25">
      <c r="A288" s="1029"/>
      <c r="B288" s="253" t="s">
        <v>788</v>
      </c>
      <c r="C288" s="255"/>
      <c r="D288" s="255"/>
      <c r="E288" s="416">
        <v>0</v>
      </c>
      <c r="F288" s="172"/>
      <c r="G288" s="172"/>
      <c r="H288" s="171"/>
    </row>
    <row r="289" spans="1:8" ht="13.8" thickBot="1" x14ac:dyDescent="0.3">
      <c r="A289" s="1029"/>
      <c r="B289" s="113" t="s">
        <v>669</v>
      </c>
      <c r="C289" s="113"/>
      <c r="D289" s="113"/>
      <c r="E289" s="441">
        <f>+E286+E287</f>
        <v>34091</v>
      </c>
      <c r="F289" s="172"/>
      <c r="G289" s="172"/>
      <c r="H289" s="171"/>
    </row>
    <row r="290" spans="1:8" s="287" customFormat="1" x14ac:dyDescent="0.25">
      <c r="A290" s="1029"/>
      <c r="B290" s="113"/>
      <c r="C290" s="113"/>
      <c r="D290" s="113"/>
      <c r="E290" s="866"/>
      <c r="F290" s="172"/>
      <c r="G290" s="172"/>
      <c r="H290" s="171"/>
    </row>
    <row r="291" spans="1:8" ht="25.5" customHeight="1" x14ac:dyDescent="0.25">
      <c r="A291" s="1029"/>
      <c r="B291" s="1040" t="s">
        <v>542</v>
      </c>
      <c r="C291" s="1041"/>
      <c r="D291" s="1041"/>
      <c r="E291" s="1041"/>
      <c r="F291" s="1041"/>
      <c r="G291" s="1041"/>
      <c r="H291" s="1041"/>
    </row>
    <row r="292" spans="1:8" x14ac:dyDescent="0.25">
      <c r="A292" s="1029"/>
      <c r="B292" s="434"/>
      <c r="C292" s="434"/>
      <c r="D292" s="434"/>
      <c r="E292" s="380"/>
      <c r="F292" s="1033" t="s">
        <v>610</v>
      </c>
      <c r="G292" s="1033"/>
      <c r="H292" s="3"/>
    </row>
    <row r="293" spans="1:8" x14ac:dyDescent="0.25">
      <c r="A293" s="1029"/>
      <c r="B293" s="434"/>
      <c r="C293" s="434"/>
      <c r="D293" s="434"/>
      <c r="E293" s="380" t="s">
        <v>313</v>
      </c>
      <c r="F293" s="379" t="s">
        <v>182</v>
      </c>
      <c r="G293" s="379" t="s">
        <v>182</v>
      </c>
      <c r="H293" s="3"/>
    </row>
    <row r="294" spans="1:8" x14ac:dyDescent="0.25">
      <c r="A294" s="1029"/>
      <c r="B294" s="434" t="s">
        <v>619</v>
      </c>
      <c r="C294" s="434"/>
      <c r="D294" s="434"/>
      <c r="E294" s="380" t="s">
        <v>618</v>
      </c>
      <c r="F294" s="380" t="s">
        <v>612</v>
      </c>
      <c r="G294" s="380" t="s">
        <v>611</v>
      </c>
      <c r="H294" s="3"/>
    </row>
    <row r="295" spans="1:8" x14ac:dyDescent="0.25">
      <c r="A295" s="1029"/>
      <c r="B295" s="112" t="s">
        <v>613</v>
      </c>
      <c r="C295" s="112"/>
      <c r="D295" s="256"/>
      <c r="E295" s="442">
        <v>41.6</v>
      </c>
      <c r="F295" s="445">
        <v>33.299999999999997</v>
      </c>
      <c r="G295" s="445">
        <v>8.3000000000000007</v>
      </c>
      <c r="H295" s="3"/>
    </row>
    <row r="296" spans="1:8" x14ac:dyDescent="0.25">
      <c r="A296" s="1029"/>
      <c r="B296" s="101" t="s">
        <v>305</v>
      </c>
      <c r="C296" s="101"/>
      <c r="D296" s="256"/>
      <c r="E296" s="442">
        <v>120</v>
      </c>
      <c r="F296" s="445">
        <v>116.7</v>
      </c>
      <c r="G296" s="445">
        <v>3.3</v>
      </c>
      <c r="H296" s="3"/>
    </row>
    <row r="297" spans="1:8" x14ac:dyDescent="0.25">
      <c r="A297" s="1029"/>
      <c r="B297" s="112" t="s">
        <v>309</v>
      </c>
      <c r="C297" s="112"/>
      <c r="D297" s="256"/>
      <c r="E297" s="442">
        <v>141.69999999999999</v>
      </c>
      <c r="F297" s="445">
        <v>116.7</v>
      </c>
      <c r="G297" s="445">
        <v>25</v>
      </c>
      <c r="H297" s="3"/>
    </row>
    <row r="298" spans="1:8" x14ac:dyDescent="0.25">
      <c r="A298" s="1029"/>
      <c r="B298" s="101" t="s">
        <v>614</v>
      </c>
      <c r="C298" s="101"/>
      <c r="D298" s="256"/>
      <c r="E298" s="442">
        <v>73.400000000000006</v>
      </c>
      <c r="F298" s="445">
        <v>66.7</v>
      </c>
      <c r="G298" s="445">
        <v>6.7</v>
      </c>
      <c r="H298" s="3"/>
    </row>
    <row r="299" spans="1:8" x14ac:dyDescent="0.25">
      <c r="A299" s="1029"/>
      <c r="B299" s="112" t="s">
        <v>615</v>
      </c>
      <c r="C299" s="112"/>
      <c r="D299" s="256"/>
      <c r="E299" s="442">
        <v>88.3</v>
      </c>
      <c r="F299" s="445">
        <v>83.3</v>
      </c>
      <c r="G299" s="445">
        <v>5</v>
      </c>
      <c r="H299" s="3"/>
    </row>
    <row r="300" spans="1:8" x14ac:dyDescent="0.25">
      <c r="A300" s="1029"/>
      <c r="B300" s="101" t="s">
        <v>616</v>
      </c>
      <c r="C300" s="101"/>
      <c r="D300" s="256"/>
      <c r="E300" s="442">
        <v>31.7</v>
      </c>
      <c r="F300" s="445">
        <v>16.7</v>
      </c>
      <c r="G300" s="445">
        <v>15</v>
      </c>
      <c r="H300" s="3"/>
    </row>
    <row r="301" spans="1:8" x14ac:dyDescent="0.25">
      <c r="A301" s="1029"/>
      <c r="B301" s="101" t="s">
        <v>617</v>
      </c>
      <c r="C301" s="101"/>
      <c r="D301" s="256"/>
      <c r="E301" s="443">
        <v>52.1</v>
      </c>
      <c r="F301" s="447">
        <v>50.4</v>
      </c>
      <c r="G301" s="447">
        <v>1.7</v>
      </c>
      <c r="H301" s="3"/>
    </row>
    <row r="302" spans="1:8" x14ac:dyDescent="0.25">
      <c r="A302" s="1029"/>
      <c r="B302" s="253" t="s">
        <v>303</v>
      </c>
      <c r="C302" s="253"/>
      <c r="D302" s="256"/>
      <c r="E302" s="442">
        <f>SUM(E295:E301)</f>
        <v>548.79999999999995</v>
      </c>
      <c r="F302" s="447">
        <f>SUM(F295:F301)</f>
        <v>483.79999999999995</v>
      </c>
      <c r="G302" s="447">
        <f>SUM(G295:G301)</f>
        <v>65</v>
      </c>
      <c r="H302" s="3"/>
    </row>
    <row r="303" spans="1:8" x14ac:dyDescent="0.25">
      <c r="A303" s="1029"/>
      <c r="B303" s="253" t="s">
        <v>670</v>
      </c>
      <c r="C303" s="253"/>
      <c r="D303" s="256"/>
      <c r="E303" s="444">
        <v>19.5</v>
      </c>
      <c r="F303" s="445"/>
      <c r="G303" s="445"/>
      <c r="H303" s="3"/>
    </row>
    <row r="304" spans="1:8" x14ac:dyDescent="0.25">
      <c r="A304" s="1029"/>
      <c r="B304" s="253" t="s">
        <v>788</v>
      </c>
      <c r="C304" s="253"/>
      <c r="D304" s="256"/>
      <c r="E304" s="444">
        <v>0</v>
      </c>
      <c r="F304" s="445"/>
      <c r="G304" s="445"/>
      <c r="H304" s="3"/>
    </row>
    <row r="305" spans="1:8" ht="13.8" thickBot="1" x14ac:dyDescent="0.3">
      <c r="A305" s="1029"/>
      <c r="B305" s="113" t="s">
        <v>671</v>
      </c>
      <c r="C305" s="113"/>
      <c r="D305" s="256"/>
      <c r="E305" s="446">
        <f>+E302+E303</f>
        <v>568.29999999999995</v>
      </c>
      <c r="F305" s="445"/>
      <c r="G305" s="445"/>
      <c r="H305" s="3"/>
    </row>
  </sheetData>
  <mergeCells count="31">
    <mergeCell ref="F292:G292"/>
    <mergeCell ref="A273:A305"/>
    <mergeCell ref="B273:H273"/>
    <mergeCell ref="F275:G275"/>
    <mergeCell ref="B286:D286"/>
    <mergeCell ref="B287:D287"/>
    <mergeCell ref="B291:H291"/>
    <mergeCell ref="A255:A270"/>
    <mergeCell ref="D259:D260"/>
    <mergeCell ref="E259:G259"/>
    <mergeCell ref="E260:G260"/>
    <mergeCell ref="A1:A254"/>
    <mergeCell ref="E37:G37"/>
    <mergeCell ref="E38:G38"/>
    <mergeCell ref="D37:D38"/>
    <mergeCell ref="D77:D78"/>
    <mergeCell ref="E77:G77"/>
    <mergeCell ref="E78:G78"/>
    <mergeCell ref="D170:D171"/>
    <mergeCell ref="E170:G170"/>
    <mergeCell ref="E171:G171"/>
    <mergeCell ref="D214:D215"/>
    <mergeCell ref="E214:G214"/>
    <mergeCell ref="E215:G215"/>
    <mergeCell ref="B10:G10"/>
    <mergeCell ref="B11:G11"/>
    <mergeCell ref="B3:G3"/>
    <mergeCell ref="B5:G5"/>
    <mergeCell ref="B7:G7"/>
    <mergeCell ref="B8:G8"/>
    <mergeCell ref="B9:G9"/>
  </mergeCells>
  <phoneticPr fontId="11" type="noConversion"/>
  <pageMargins left="0.74803149606299213" right="0.74803149606299213" top="0.98425196850393704" bottom="0.98425196850393704" header="0.51181102362204722" footer="0.51181102362204722"/>
  <pageSetup paperSize="9" firstPageNumber="21" fitToHeight="0" orientation="portrait" useFirstPageNumber="1" r:id="rId1"/>
  <headerFooter alignWithMargins="0">
    <oddFooter>&amp;L&amp;8Chartered Accountants Australia New Zealand&amp;C&amp;9&amp;P&amp;R&amp;8VICTORIAN CITY COUNCIL</oddFooter>
  </headerFooter>
  <rowBreaks count="6" manualBreakCount="6">
    <brk id="33" min="1" max="7" man="1"/>
    <brk id="73" min="1" max="7" man="1"/>
    <brk id="120" min="1" max="7" man="1"/>
    <brk id="166" min="1" max="7" man="1"/>
    <brk id="210" min="1" max="7" man="1"/>
    <brk id="255" min="1"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view="pageBreakPreview" zoomScaleNormal="100" zoomScaleSheetLayoutView="100" workbookViewId="0">
      <selection activeCell="A40" sqref="A40"/>
    </sheetView>
  </sheetViews>
  <sheetFormatPr defaultColWidth="9.109375" defaultRowHeight="13.2" x14ac:dyDescent="0.25"/>
  <cols>
    <col min="1" max="1" width="22.33203125" style="68" customWidth="1"/>
    <col min="2" max="2" width="36.5546875" style="68" customWidth="1"/>
    <col min="3" max="3" width="3" style="56" customWidth="1"/>
    <col min="4" max="7" width="9.5546875" style="56" customWidth="1"/>
    <col min="8" max="8" width="8" style="56" customWidth="1"/>
    <col min="9" max="9" width="8.109375" style="56" customWidth="1"/>
    <col min="10" max="10" width="6.44140625" style="56" customWidth="1"/>
    <col min="11" max="11" width="10.5546875" style="47" customWidth="1"/>
    <col min="12" max="12" width="10" style="47" customWidth="1"/>
    <col min="13" max="16384" width="9.109375" style="47"/>
  </cols>
  <sheetData>
    <row r="1" spans="1:10" ht="15.6" x14ac:dyDescent="0.25">
      <c r="A1" s="448" t="s">
        <v>856</v>
      </c>
      <c r="B1" s="51"/>
      <c r="C1" s="52"/>
      <c r="D1" s="52"/>
      <c r="E1" s="52"/>
      <c r="F1" s="52"/>
      <c r="G1" s="52"/>
      <c r="H1" s="52"/>
      <c r="I1" s="52"/>
      <c r="J1" s="52"/>
    </row>
    <row r="2" spans="1:10" x14ac:dyDescent="0.25">
      <c r="A2" s="49"/>
      <c r="B2" s="49"/>
      <c r="C2" s="54"/>
      <c r="D2" s="54"/>
      <c r="E2" s="54"/>
      <c r="F2" s="54"/>
      <c r="G2" s="54"/>
      <c r="H2" s="54"/>
      <c r="I2" s="54"/>
      <c r="J2" s="54"/>
    </row>
    <row r="3" spans="1:10" ht="25.5" customHeight="1" x14ac:dyDescent="0.25">
      <c r="A3" s="944" t="s">
        <v>1349</v>
      </c>
      <c r="B3" s="944"/>
      <c r="C3" s="948"/>
      <c r="D3" s="948"/>
      <c r="E3" s="948"/>
      <c r="F3" s="948"/>
      <c r="G3" s="948"/>
      <c r="H3" s="948"/>
      <c r="I3" s="948"/>
      <c r="J3" s="948"/>
    </row>
    <row r="4" spans="1:10" s="886" customFormat="1" x14ac:dyDescent="0.25">
      <c r="A4" s="882"/>
      <c r="B4" s="882"/>
      <c r="C4" s="884"/>
      <c r="D4" s="884"/>
      <c r="E4" s="884"/>
      <c r="F4" s="884"/>
      <c r="G4" s="884"/>
      <c r="H4" s="884"/>
      <c r="I4" s="884"/>
      <c r="J4" s="884"/>
    </row>
    <row r="5" spans="1:10" x14ac:dyDescent="0.25">
      <c r="A5" s="342"/>
      <c r="B5" s="342"/>
      <c r="C5" s="1048" t="s">
        <v>321</v>
      </c>
      <c r="D5" s="379"/>
      <c r="E5" s="379" t="s">
        <v>331</v>
      </c>
      <c r="F5" s="379"/>
      <c r="G5" s="1033" t="s">
        <v>322</v>
      </c>
      <c r="H5" s="1033"/>
      <c r="I5" s="1033"/>
      <c r="J5" s="379"/>
    </row>
    <row r="6" spans="1:10" x14ac:dyDescent="0.25">
      <c r="A6" s="342" t="s">
        <v>320</v>
      </c>
      <c r="B6" s="342" t="s">
        <v>296</v>
      </c>
      <c r="C6" s="1048"/>
      <c r="D6" s="379" t="s">
        <v>332</v>
      </c>
      <c r="E6" s="379" t="s">
        <v>332</v>
      </c>
      <c r="F6" s="379" t="s">
        <v>143</v>
      </c>
      <c r="G6" s="1033" t="s">
        <v>145</v>
      </c>
      <c r="H6" s="1033"/>
      <c r="I6" s="1033"/>
      <c r="J6" s="379" t="s">
        <v>146</v>
      </c>
    </row>
    <row r="7" spans="1:10" x14ac:dyDescent="0.25">
      <c r="A7" s="379"/>
      <c r="B7" s="379"/>
      <c r="C7" s="1048"/>
      <c r="D7" s="379" t="s">
        <v>402</v>
      </c>
      <c r="E7" s="379" t="str">
        <f>+'3'!C39</f>
        <v>2016/17</v>
      </c>
      <c r="F7" s="379" t="str">
        <f>+'3'!D39</f>
        <v>2017/18</v>
      </c>
      <c r="G7" s="379" t="str">
        <f>+'3'!E39</f>
        <v>2018/19</v>
      </c>
      <c r="H7" s="379" t="str">
        <f>+'3'!F39</f>
        <v>2019/20</v>
      </c>
      <c r="I7" s="379" t="str">
        <f>+'3'!G39</f>
        <v>2020/21</v>
      </c>
      <c r="J7" s="379" t="s">
        <v>147</v>
      </c>
    </row>
    <row r="8" spans="1:10" x14ac:dyDescent="0.25">
      <c r="A8" s="1049" t="s">
        <v>425</v>
      </c>
      <c r="B8" s="1050"/>
      <c r="C8" s="62"/>
      <c r="D8" s="61"/>
      <c r="E8" s="61"/>
      <c r="F8" s="449"/>
      <c r="G8" s="26"/>
      <c r="H8" s="26"/>
      <c r="I8" s="26"/>
      <c r="J8" s="57"/>
    </row>
    <row r="9" spans="1:10" ht="22.8" x14ac:dyDescent="0.25">
      <c r="A9" s="451" t="s">
        <v>426</v>
      </c>
      <c r="B9" s="205" t="s">
        <v>622</v>
      </c>
      <c r="C9" s="917">
        <v>1</v>
      </c>
      <c r="D9" s="452">
        <v>-1.2999999999999999E-2</v>
      </c>
      <c r="E9" s="452">
        <f>'14'!D31/('3'!C53-'3'!C47-'3'!C48+'10'!D13)</f>
        <v>-6.6975092026297325E-2</v>
      </c>
      <c r="F9" s="453">
        <f>'14'!E31/('3'!D53-'3'!D47-'3'!D48+'10'!E13)</f>
        <v>-6.1782007880570512E-2</v>
      </c>
      <c r="G9" s="452">
        <v>-4.9000000000000002E-2</v>
      </c>
      <c r="H9" s="452">
        <v>-3.7999999999999999E-2</v>
      </c>
      <c r="I9" s="452">
        <v>-0.03</v>
      </c>
      <c r="J9" s="454" t="s">
        <v>149</v>
      </c>
    </row>
    <row r="10" spans="1:10" x14ac:dyDescent="0.25">
      <c r="A10" s="455" t="s">
        <v>427</v>
      </c>
      <c r="B10" s="302"/>
      <c r="C10" s="918"/>
      <c r="D10" s="37"/>
      <c r="E10" s="37"/>
      <c r="F10" s="450"/>
      <c r="G10" s="37"/>
      <c r="H10" s="37"/>
      <c r="I10" s="37"/>
      <c r="J10" s="57"/>
    </row>
    <row r="11" spans="1:10" ht="15.75" customHeight="1" x14ac:dyDescent="0.25">
      <c r="A11" s="890" t="s">
        <v>1347</v>
      </c>
      <c r="B11" s="456" t="s">
        <v>623</v>
      </c>
      <c r="C11" s="918">
        <v>2</v>
      </c>
      <c r="D11" s="457">
        <v>2.2029999999999998</v>
      </c>
      <c r="E11" s="457">
        <f>+'3'!C89/'3'!C106</f>
        <v>2.4057047247231296</v>
      </c>
      <c r="F11" s="458">
        <f>+'3'!D89/'3'!D106</f>
        <v>1.3939631517052136</v>
      </c>
      <c r="G11" s="459">
        <f>+'3'!E89/'3'!E106</f>
        <v>1.396897669393425</v>
      </c>
      <c r="H11" s="459">
        <f>+'3'!F89/'3'!F106</f>
        <v>1.3956060492062299</v>
      </c>
      <c r="I11" s="459">
        <f>+'3'!G89/'3'!G106</f>
        <v>1.3971762270845653</v>
      </c>
      <c r="J11" s="460" t="s">
        <v>341</v>
      </c>
    </row>
    <row r="12" spans="1:10" x14ac:dyDescent="0.25">
      <c r="A12" s="451" t="s">
        <v>428</v>
      </c>
      <c r="B12" s="451" t="s">
        <v>624</v>
      </c>
      <c r="C12" s="917"/>
      <c r="D12" s="463">
        <v>1.01</v>
      </c>
      <c r="E12" s="463">
        <v>1.272</v>
      </c>
      <c r="F12" s="462">
        <v>0.88700000000000001</v>
      </c>
      <c r="G12" s="463">
        <v>0.95899999999999996</v>
      </c>
      <c r="H12" s="463">
        <v>0.96099999999999997</v>
      </c>
      <c r="I12" s="463">
        <v>0.96299999999999997</v>
      </c>
      <c r="J12" s="454" t="s">
        <v>341</v>
      </c>
    </row>
    <row r="13" spans="1:10" x14ac:dyDescent="0.25">
      <c r="A13" s="1049" t="s">
        <v>429</v>
      </c>
      <c r="B13" s="1050"/>
      <c r="C13" s="918"/>
      <c r="D13" s="37"/>
      <c r="E13" s="37"/>
      <c r="F13" s="450"/>
      <c r="G13" s="37"/>
      <c r="H13" s="37"/>
      <c r="I13" s="37"/>
      <c r="J13" s="57"/>
    </row>
    <row r="14" spans="1:10" ht="25.5" customHeight="1" x14ac:dyDescent="0.25">
      <c r="A14" s="456" t="s">
        <v>430</v>
      </c>
      <c r="B14" s="456" t="s">
        <v>625</v>
      </c>
      <c r="C14" s="918">
        <v>3</v>
      </c>
      <c r="D14" s="457">
        <v>0.123</v>
      </c>
      <c r="E14" s="457">
        <f>+('3'!C105+'3'!C110)/'3'!C42</f>
        <v>0.14508816120906801</v>
      </c>
      <c r="F14" s="458">
        <f>+('3'!D105+'3'!D110)/'3'!D42</f>
        <v>0.11245599097958901</v>
      </c>
      <c r="G14" s="459">
        <f>+('3'!E105+'3'!E110)/'3'!E42</f>
        <v>8.0522118730145004E-2</v>
      </c>
      <c r="H14" s="459">
        <f>+('3'!F105+'3'!F110)/'3'!F42</f>
        <v>9.3689071318624931E-2</v>
      </c>
      <c r="I14" s="459">
        <f>+('3'!G105+'3'!G110)/'3'!G42</f>
        <v>6.3886233735832867E-2</v>
      </c>
      <c r="J14" s="460" t="s">
        <v>149</v>
      </c>
    </row>
    <row r="15" spans="1:10" ht="25.5" customHeight="1" x14ac:dyDescent="0.25">
      <c r="A15" s="456" t="s">
        <v>430</v>
      </c>
      <c r="B15" s="456" t="s">
        <v>663</v>
      </c>
      <c r="C15" s="918"/>
      <c r="D15" s="457">
        <v>3.2000000000000001E-2</v>
      </c>
      <c r="E15" s="457">
        <f>(-'3'!C204-'3'!C206)/'3'!C42</f>
        <v>3.6967734196953338E-2</v>
      </c>
      <c r="F15" s="458">
        <f>(-'3'!D204-'3'!D206)/'3'!D42</f>
        <v>3.3895574936143771E-2</v>
      </c>
      <c r="G15" s="459">
        <f>(-'3'!E204-'3'!E206)/'3'!E42</f>
        <v>3.0428111425669396E-2</v>
      </c>
      <c r="H15" s="459">
        <f>(-'3'!F204-'3'!F206)/'3'!F42</f>
        <v>3.2242175474602362E-2</v>
      </c>
      <c r="I15" s="459">
        <f>(-'3'!G204-'3'!G206)/'3'!G42</f>
        <v>3.1796812515849641E-2</v>
      </c>
      <c r="J15" s="460" t="s">
        <v>149</v>
      </c>
    </row>
    <row r="16" spans="1:10" ht="15.75" customHeight="1" x14ac:dyDescent="0.25">
      <c r="A16" s="456" t="s">
        <v>431</v>
      </c>
      <c r="B16" s="456" t="s">
        <v>626</v>
      </c>
      <c r="C16" s="918"/>
      <c r="D16" s="459">
        <v>0.09</v>
      </c>
      <c r="E16" s="459">
        <f>+'3'!C111/('3'!C42+'3'!C43+'3'!C44+'3'!C52)</f>
        <v>0.10918544194107452</v>
      </c>
      <c r="F16" s="458">
        <f>+'3'!D111/('3'!D42+'3'!D43+'3'!D44+'3'!D52)</f>
        <v>8.2921702574881767E-2</v>
      </c>
      <c r="G16" s="459">
        <f>+'3'!E111/('3'!E42+'3'!E43+'3'!E44+'3'!E52)</f>
        <v>6.0483127420247099E-2</v>
      </c>
      <c r="H16" s="459">
        <f>+'3'!F111/('3'!F42+'3'!F43+'3'!F44+'3'!F52)</f>
        <v>6.9892127905483492E-2</v>
      </c>
      <c r="I16" s="459">
        <f>+'3'!G111/('3'!G42+'3'!G43+'3'!G44+'3'!G52)</f>
        <v>4.7104175945692738E-2</v>
      </c>
      <c r="J16" s="460" t="s">
        <v>149</v>
      </c>
    </row>
    <row r="17" spans="1:10" x14ac:dyDescent="0.25">
      <c r="A17" s="451" t="s">
        <v>34</v>
      </c>
      <c r="B17" s="451" t="s">
        <v>627</v>
      </c>
      <c r="C17" s="917">
        <v>4</v>
      </c>
      <c r="D17" s="461">
        <v>1.026</v>
      </c>
      <c r="E17" s="461">
        <f>+'3'!C251/'3'!C59</f>
        <v>0.87109876015391197</v>
      </c>
      <c r="F17" s="462">
        <f>+'3'!D251/'3'!D59</f>
        <v>1.2037241379310344</v>
      </c>
      <c r="G17" s="463">
        <f>+'3'!E251/'3'!E59</f>
        <v>1.0487917297688814</v>
      </c>
      <c r="H17" s="463">
        <f>+'3'!F251/'3'!F59</f>
        <v>0.83492123983739841</v>
      </c>
      <c r="I17" s="463">
        <f>+'3'!G251/'3'!G59</f>
        <v>0.8332309204866658</v>
      </c>
      <c r="J17" s="454" t="s">
        <v>148</v>
      </c>
    </row>
    <row r="18" spans="1:10" x14ac:dyDescent="0.25">
      <c r="A18" s="65" t="s">
        <v>433</v>
      </c>
      <c r="B18" s="302"/>
      <c r="C18" s="918"/>
      <c r="D18" s="37"/>
      <c r="E18" s="37"/>
      <c r="F18" s="450"/>
      <c r="G18" s="37"/>
      <c r="H18" s="37"/>
      <c r="I18" s="37"/>
      <c r="J18" s="57"/>
    </row>
    <row r="19" spans="1:10" ht="15.75" customHeight="1" x14ac:dyDescent="0.25">
      <c r="A19" s="456" t="s">
        <v>434</v>
      </c>
      <c r="B19" s="456" t="s">
        <v>628</v>
      </c>
      <c r="C19" s="918">
        <v>5</v>
      </c>
      <c r="D19" s="457">
        <v>0.56299999999999994</v>
      </c>
      <c r="E19" s="457">
        <f>+'3'!C42/('3'!C53-(SUM('3'!C47:C48)))</f>
        <v>0.57968293700458906</v>
      </c>
      <c r="F19" s="458">
        <f>+'3'!D42/('3'!D53-(SUM('3'!D47:D48)))</f>
        <v>0.56056912142202964</v>
      </c>
      <c r="G19" s="459">
        <f>+'3'!E42/('3'!E53-(SUM('3'!E47:E48)))</f>
        <v>0.55654715369904861</v>
      </c>
      <c r="H19" s="459">
        <f>+'3'!F42/('3'!F53-(SUM('3'!F47:F48)))</f>
        <v>0.62289067293925138</v>
      </c>
      <c r="I19" s="459">
        <f>+'3'!G42/('3'!G53-(SUM('3'!G47:G48)))</f>
        <v>0.63317358760900178</v>
      </c>
      <c r="J19" s="460" t="s">
        <v>148</v>
      </c>
    </row>
    <row r="20" spans="1:10" ht="22.8" x14ac:dyDescent="0.25">
      <c r="A20" s="451" t="s">
        <v>435</v>
      </c>
      <c r="B20" s="451" t="s">
        <v>664</v>
      </c>
      <c r="C20" s="917"/>
      <c r="D20" s="463">
        <v>4.0000000000000001E-3</v>
      </c>
      <c r="E20" s="463">
        <v>4.0000000000000001E-3</v>
      </c>
      <c r="F20" s="462">
        <v>4.0000000000000001E-3</v>
      </c>
      <c r="G20" s="463">
        <v>4.0000000000000001E-3</v>
      </c>
      <c r="H20" s="463">
        <v>4.0000000000000001E-3</v>
      </c>
      <c r="I20" s="463">
        <v>5.0000000000000001E-3</v>
      </c>
      <c r="J20" s="454" t="s">
        <v>341</v>
      </c>
    </row>
    <row r="21" spans="1:10" x14ac:dyDescent="0.25">
      <c r="A21" s="65" t="s">
        <v>1348</v>
      </c>
      <c r="B21" s="302"/>
      <c r="C21" s="62"/>
      <c r="D21" s="61"/>
      <c r="E21" s="61"/>
      <c r="F21" s="449"/>
      <c r="G21" s="26"/>
      <c r="H21" s="26"/>
      <c r="I21" s="26"/>
      <c r="J21" s="57"/>
    </row>
    <row r="22" spans="1:10" x14ac:dyDescent="0.25">
      <c r="A22" s="456" t="s">
        <v>436</v>
      </c>
      <c r="B22" s="456" t="s">
        <v>665</v>
      </c>
      <c r="C22" s="62"/>
      <c r="D22" s="464">
        <v>1302</v>
      </c>
      <c r="E22" s="464">
        <v>1318</v>
      </c>
      <c r="F22" s="465">
        <v>1340</v>
      </c>
      <c r="G22" s="464">
        <v>1355</v>
      </c>
      <c r="H22" s="464">
        <v>1377</v>
      </c>
      <c r="I22" s="464">
        <v>1406</v>
      </c>
      <c r="J22" s="460" t="s">
        <v>149</v>
      </c>
    </row>
    <row r="23" spans="1:10" ht="22.8" x14ac:dyDescent="0.25">
      <c r="A23" s="456" t="s">
        <v>437</v>
      </c>
      <c r="B23" s="456" t="s">
        <v>666</v>
      </c>
      <c r="C23" s="62"/>
      <c r="D23" s="464">
        <v>611</v>
      </c>
      <c r="E23" s="464">
        <v>625</v>
      </c>
      <c r="F23" s="465">
        <v>650</v>
      </c>
      <c r="G23" s="464">
        <v>678</v>
      </c>
      <c r="H23" s="464">
        <v>706</v>
      </c>
      <c r="I23" s="464">
        <v>735</v>
      </c>
      <c r="J23" s="460" t="s">
        <v>149</v>
      </c>
    </row>
    <row r="24" spans="1:10" ht="34.200000000000003" x14ac:dyDescent="0.25">
      <c r="A24" s="451" t="s">
        <v>438</v>
      </c>
      <c r="B24" s="451" t="s">
        <v>667</v>
      </c>
      <c r="C24" s="64"/>
      <c r="D24" s="463">
        <v>0.09</v>
      </c>
      <c r="E24" s="463">
        <v>9.2999999999999999E-2</v>
      </c>
      <c r="F24" s="462">
        <v>8.7999999999999995E-2</v>
      </c>
      <c r="G24" s="463">
        <v>8.4000000000000005E-2</v>
      </c>
      <c r="H24" s="463">
        <v>0.08</v>
      </c>
      <c r="I24" s="463">
        <v>7.5999999999999998E-2</v>
      </c>
      <c r="J24" s="454" t="s">
        <v>149</v>
      </c>
    </row>
    <row r="25" spans="1:10" x14ac:dyDescent="0.25">
      <c r="A25" s="58"/>
      <c r="B25" s="58"/>
      <c r="C25" s="62"/>
      <c r="D25" s="61"/>
      <c r="E25" s="61"/>
      <c r="F25" s="119"/>
      <c r="G25" s="26"/>
      <c r="H25" s="26"/>
      <c r="I25" s="26"/>
      <c r="J25" s="57"/>
    </row>
    <row r="26" spans="1:10" x14ac:dyDescent="0.25">
      <c r="A26" s="1042" t="s">
        <v>342</v>
      </c>
      <c r="B26" s="1042"/>
      <c r="C26" s="1042"/>
      <c r="D26" s="1042"/>
      <c r="E26" s="1042"/>
      <c r="F26" s="1042"/>
      <c r="G26" s="1042"/>
      <c r="H26" s="1042"/>
      <c r="I26" s="1042"/>
      <c r="J26" s="1042"/>
    </row>
    <row r="27" spans="1:10" x14ac:dyDescent="0.25">
      <c r="A27" s="1042" t="s">
        <v>797</v>
      </c>
      <c r="B27" s="1042"/>
      <c r="C27" s="948"/>
      <c r="D27" s="948"/>
      <c r="E27" s="948"/>
      <c r="F27" s="948"/>
      <c r="G27" s="948"/>
      <c r="H27" s="948"/>
      <c r="I27" s="948"/>
      <c r="J27" s="948"/>
    </row>
    <row r="28" spans="1:10" x14ac:dyDescent="0.25">
      <c r="A28" s="1042" t="s">
        <v>798</v>
      </c>
      <c r="B28" s="1042"/>
      <c r="C28" s="948"/>
      <c r="D28" s="948"/>
      <c r="E28" s="948"/>
      <c r="F28" s="948"/>
      <c r="G28" s="948"/>
      <c r="H28" s="948"/>
      <c r="I28" s="948"/>
      <c r="J28" s="948"/>
    </row>
    <row r="29" spans="1:10" x14ac:dyDescent="0.25">
      <c r="A29" s="1042" t="s">
        <v>799</v>
      </c>
      <c r="B29" s="1042"/>
      <c r="C29" s="948"/>
      <c r="D29" s="948"/>
      <c r="E29" s="948"/>
      <c r="F29" s="948"/>
      <c r="G29" s="948"/>
      <c r="H29" s="948"/>
      <c r="I29" s="948"/>
      <c r="J29" s="948"/>
    </row>
    <row r="30" spans="1:10" x14ac:dyDescent="0.25">
      <c r="A30" s="49"/>
      <c r="B30" s="49"/>
      <c r="C30" s="54"/>
      <c r="D30" s="54"/>
      <c r="E30" s="54"/>
      <c r="F30" s="54"/>
      <c r="G30" s="54"/>
      <c r="H30" s="54"/>
      <c r="I30" s="54"/>
      <c r="J30" s="54"/>
    </row>
    <row r="31" spans="1:10" x14ac:dyDescent="0.25">
      <c r="A31" s="952" t="s">
        <v>368</v>
      </c>
      <c r="B31" s="1043"/>
      <c r="C31" s="54"/>
      <c r="D31" s="54"/>
      <c r="E31" s="54"/>
      <c r="F31" s="54"/>
      <c r="G31" s="54"/>
      <c r="H31" s="54"/>
      <c r="I31" s="54"/>
      <c r="J31" s="54"/>
    </row>
    <row r="32" spans="1:10" x14ac:dyDescent="0.25">
      <c r="A32" s="60"/>
      <c r="B32" s="60"/>
      <c r="C32" s="54"/>
      <c r="D32" s="54"/>
      <c r="E32" s="54"/>
      <c r="F32" s="54"/>
      <c r="G32" s="54"/>
      <c r="H32" s="54"/>
      <c r="I32" s="54"/>
      <c r="J32" s="54"/>
    </row>
    <row r="33" spans="1:10" ht="38.25" customHeight="1" x14ac:dyDescent="0.25">
      <c r="A33" s="1045" t="s">
        <v>1103</v>
      </c>
      <c r="B33" s="1045"/>
      <c r="C33" s="944"/>
      <c r="D33" s="944"/>
      <c r="E33" s="944"/>
      <c r="F33" s="944"/>
      <c r="G33" s="944"/>
      <c r="H33" s="944"/>
      <c r="I33" s="944"/>
      <c r="J33" s="944"/>
    </row>
    <row r="34" spans="1:10" x14ac:dyDescent="0.25">
      <c r="A34" s="272"/>
      <c r="B34" s="272"/>
      <c r="C34" s="83"/>
      <c r="D34" s="83"/>
      <c r="E34" s="83"/>
      <c r="F34" s="83"/>
      <c r="G34" s="83"/>
      <c r="H34" s="83"/>
      <c r="I34" s="83"/>
      <c r="J34" s="83"/>
    </row>
    <row r="35" spans="1:10" ht="25.5" customHeight="1" x14ac:dyDescent="0.25">
      <c r="A35" s="1046" t="s">
        <v>1105</v>
      </c>
      <c r="B35" s="1047"/>
      <c r="C35" s="1046"/>
      <c r="D35" s="1046"/>
      <c r="E35" s="1046"/>
      <c r="F35" s="1046"/>
      <c r="G35" s="1046"/>
      <c r="H35" s="1046"/>
      <c r="I35" s="1046"/>
      <c r="J35" s="1046"/>
    </row>
    <row r="36" spans="1:10" x14ac:dyDescent="0.25">
      <c r="A36" s="272"/>
      <c r="B36" s="272"/>
      <c r="C36" s="83"/>
      <c r="D36" s="83"/>
      <c r="E36" s="83"/>
      <c r="F36" s="83"/>
      <c r="G36" s="83"/>
      <c r="H36" s="83"/>
      <c r="I36" s="83"/>
      <c r="J36" s="83"/>
    </row>
    <row r="37" spans="1:10" ht="12.75" customHeight="1" x14ac:dyDescent="0.25">
      <c r="A37" s="1045" t="s">
        <v>1104</v>
      </c>
      <c r="B37" s="1045"/>
      <c r="C37" s="944"/>
      <c r="D37" s="944"/>
      <c r="E37" s="944"/>
      <c r="F37" s="944"/>
      <c r="G37" s="944"/>
      <c r="H37" s="944"/>
      <c r="I37" s="944"/>
      <c r="J37" s="944"/>
    </row>
    <row r="38" spans="1:10" x14ac:dyDescent="0.25">
      <c r="A38" s="272"/>
      <c r="B38" s="272"/>
      <c r="C38" s="83"/>
      <c r="D38" s="83"/>
      <c r="E38" s="83"/>
      <c r="F38" s="83"/>
      <c r="G38" s="83"/>
      <c r="H38" s="83"/>
      <c r="I38" s="83"/>
      <c r="J38" s="83"/>
    </row>
    <row r="39" spans="1:10" ht="38.25" customHeight="1" x14ac:dyDescent="0.25">
      <c r="A39" s="1044" t="s">
        <v>555</v>
      </c>
      <c r="B39" s="1044"/>
      <c r="C39" s="1044"/>
      <c r="D39" s="1044"/>
      <c r="E39" s="1044"/>
      <c r="F39" s="1044"/>
      <c r="G39" s="1044"/>
      <c r="H39" s="1044"/>
      <c r="I39" s="1044"/>
      <c r="J39" s="1044"/>
    </row>
    <row r="40" spans="1:10" x14ac:dyDescent="0.25">
      <c r="A40" s="272"/>
      <c r="B40" s="272"/>
      <c r="C40" s="83"/>
      <c r="D40" s="83"/>
      <c r="E40" s="83"/>
      <c r="F40" s="83"/>
      <c r="G40" s="83"/>
      <c r="H40" s="83"/>
      <c r="I40" s="83"/>
      <c r="J40" s="83"/>
    </row>
    <row r="41" spans="1:10" ht="25.5" customHeight="1" x14ac:dyDescent="0.25">
      <c r="A41" s="1044" t="s">
        <v>554</v>
      </c>
      <c r="B41" s="1044"/>
      <c r="C41" s="1044"/>
      <c r="D41" s="1044"/>
      <c r="E41" s="1044"/>
      <c r="F41" s="1044"/>
      <c r="G41" s="1044"/>
      <c r="H41" s="1044"/>
      <c r="I41" s="1044"/>
      <c r="J41" s="1044"/>
    </row>
    <row r="42" spans="1:10" x14ac:dyDescent="0.25">
      <c r="A42" s="66"/>
      <c r="B42" s="66"/>
      <c r="C42" s="66"/>
      <c r="D42" s="251"/>
      <c r="E42" s="66"/>
      <c r="F42" s="66"/>
      <c r="G42" s="66"/>
      <c r="H42" s="66"/>
      <c r="I42" s="66"/>
      <c r="J42" s="66"/>
    </row>
    <row r="43" spans="1:10" x14ac:dyDescent="0.25">
      <c r="A43" s="67"/>
      <c r="B43" s="67"/>
      <c r="C43" s="47"/>
      <c r="D43" s="250"/>
      <c r="E43" s="47"/>
      <c r="F43" s="47"/>
      <c r="G43" s="47"/>
      <c r="H43" s="47"/>
      <c r="I43" s="47"/>
      <c r="J43" s="47"/>
    </row>
  </sheetData>
  <mergeCells count="16">
    <mergeCell ref="A3:J3"/>
    <mergeCell ref="A28:J28"/>
    <mergeCell ref="A31:B31"/>
    <mergeCell ref="A39:J39"/>
    <mergeCell ref="A41:J41"/>
    <mergeCell ref="A29:J29"/>
    <mergeCell ref="A33:J33"/>
    <mergeCell ref="A35:J35"/>
    <mergeCell ref="A37:J37"/>
    <mergeCell ref="C5:C7"/>
    <mergeCell ref="G5:I5"/>
    <mergeCell ref="G6:I6"/>
    <mergeCell ref="A26:J26"/>
    <mergeCell ref="A8:B8"/>
    <mergeCell ref="A13:B13"/>
    <mergeCell ref="A27:J27"/>
  </mergeCells>
  <phoneticPr fontId="11" type="noConversion"/>
  <pageMargins left="0.74803149606299213" right="0.74803149606299213" top="0.98425196850393704" bottom="0.98425196850393704" header="0.51181102362204722" footer="0.51181102362204722"/>
  <pageSetup paperSize="9" firstPageNumber="28" orientation="landscape" useFirstPageNumber="1" r:id="rId1"/>
  <headerFooter alignWithMargins="0">
    <oddFooter>&amp;L&amp;8Chartered Accountants Australia New Zealand&amp;C&amp;9&amp;P&amp;R&amp;8VICTORIAN CITY COUNCIL</oddFooter>
  </headerFooter>
  <rowBreaks count="1" manualBreakCount="1">
    <brk id="2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28</vt:i4>
      </vt:variant>
    </vt:vector>
  </HeadingPairs>
  <TitlesOfParts>
    <vt:vector size="54" baseType="lpstr">
      <vt:lpstr>Title</vt:lpstr>
      <vt:lpstr>Contents</vt:lpstr>
      <vt:lpstr>Mayor</vt:lpstr>
      <vt:lpstr>Executive Summary</vt:lpstr>
      <vt:lpstr>Budget Reports</vt:lpstr>
      <vt:lpstr>1</vt:lpstr>
      <vt:lpstr>2</vt:lpstr>
      <vt:lpstr>3</vt:lpstr>
      <vt:lpstr>4</vt:lpstr>
      <vt:lpstr>5</vt:lpstr>
      <vt:lpstr>6</vt:lpstr>
      <vt:lpstr>7</vt:lpstr>
      <vt:lpstr>Budget Analysis</vt:lpstr>
      <vt:lpstr>8</vt:lpstr>
      <vt:lpstr>9</vt:lpstr>
      <vt:lpstr>10</vt:lpstr>
      <vt:lpstr>11</vt:lpstr>
      <vt:lpstr>12</vt:lpstr>
      <vt:lpstr>13</vt:lpstr>
      <vt:lpstr>Long Term Strategies</vt:lpstr>
      <vt:lpstr>14</vt:lpstr>
      <vt:lpstr>15</vt:lpstr>
      <vt:lpstr>16</vt:lpstr>
      <vt:lpstr>A</vt:lpstr>
      <vt:lpstr>B</vt:lpstr>
      <vt:lpstr>Rate Cap - Model Budget</vt:lpstr>
      <vt:lpstr>'2'!OLE_LINK5</vt:lpstr>
      <vt:lpstr>'9'!OLE_LINK7</vt:lpstr>
      <vt:lpstr>'9'!OLE_LINK9</vt:lpstr>
      <vt:lpstr>'1'!Print_Area</vt:lpstr>
      <vt:lpstr>'10'!Print_Area</vt:lpstr>
      <vt:lpstr>'11'!Print_Area</vt:lpstr>
      <vt:lpstr>'12'!Print_Area</vt:lpstr>
      <vt:lpstr>'13'!Print_Area</vt:lpstr>
      <vt:lpstr>'14'!Print_Area</vt:lpstr>
      <vt:lpstr>'15'!Print_Area</vt:lpstr>
      <vt:lpstr>'16'!Print_Area</vt:lpstr>
      <vt:lpstr>'2'!Print_Area</vt:lpstr>
      <vt:lpstr>'3'!Print_Area</vt:lpstr>
      <vt:lpstr>'4'!Print_Area</vt:lpstr>
      <vt:lpstr>'5'!Print_Area</vt:lpstr>
      <vt:lpstr>'6'!Print_Area</vt:lpstr>
      <vt:lpstr>'7'!Print_Area</vt:lpstr>
      <vt:lpstr>'8'!Print_Area</vt:lpstr>
      <vt:lpstr>'9'!Print_Area</vt:lpstr>
      <vt:lpstr>A!Print_Area</vt:lpstr>
      <vt:lpstr>B!Print_Area</vt:lpstr>
      <vt:lpstr>'Budget Analysis'!Print_Area</vt:lpstr>
      <vt:lpstr>'Budget Reports'!Print_Area</vt:lpstr>
      <vt:lpstr>Contents!Print_Area</vt:lpstr>
      <vt:lpstr>'Executive Summary'!Print_Area</vt:lpstr>
      <vt:lpstr>'Long Term Strategies'!Print_Area</vt:lpstr>
      <vt:lpstr>Mayor!Print_Area</vt:lpstr>
      <vt:lpstr>Title!Print_Area</vt:lpstr>
    </vt:vector>
  </TitlesOfParts>
  <Company>City of Darebin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MDAVIES</dc:creator>
  <cp:lastModifiedBy>James Scott</cp:lastModifiedBy>
  <cp:lastPrinted>2017-02-12T21:44:04Z</cp:lastPrinted>
  <dcterms:created xsi:type="dcterms:W3CDTF">2007-03-01T03:43:31Z</dcterms:created>
  <dcterms:modified xsi:type="dcterms:W3CDTF">2017-02-14T10:41:38Z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2008-01-24T13:00:00Z</vt:filetime>
  </property>
  <property fmtid="{D5CDD505-2E9C-101B-9397-08002B2CF9AE}" pid="4" name="Objective-Id">
    <vt:lpwstr>A453563</vt:lpwstr>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2008-01-24T13:00:00Z</vt:filetime>
  </property>
  <property fmtid="{D5CDD505-2E9C-101B-9397-08002B2CF9AE}" pid="9" name="Objective-Owner">
    <vt:lpwstr>Mark Davies</vt:lpwstr>
  </property>
  <property fmtid="{D5CDD505-2E9C-101B-9397-08002B2CF9AE}" pid="10" name="Objective-Path">
    <vt:lpwstr>Darebin City Council Global Folder:Business Administration Folders:Corporate Services - Business Administration Folders:General Manager Corporate Services - Business Administration Folders:ICAA Model Budget Taskforce:ICAA Model Budget year ended 30 June 2</vt:lpwstr>
  </property>
  <property fmtid="{D5CDD505-2E9C-101B-9397-08002B2CF9AE}" pid="11" name="Objective-Parent">
    <vt:lpwstr>ICAA Model Budget year ended 30 June 2009</vt:lpwstr>
  </property>
  <property fmtid="{D5CDD505-2E9C-101B-9397-08002B2CF9AE}" pid="12" name="Objective-State">
    <vt:lpwstr>Being Edited</vt:lpwstr>
  </property>
  <property fmtid="{D5CDD505-2E9C-101B-9397-08002B2CF9AE}" pid="13" name="Objective-Title">
    <vt:lpwstr>ICAA Model Budget EXCEL TEMPLATE year ended 30 June 2009</vt:lpwstr>
  </property>
  <property fmtid="{D5CDD505-2E9C-101B-9397-08002B2CF9AE}" pid="14" name="Objective-Version">
    <vt:lpwstr>0.2</vt:lpwstr>
  </property>
  <property fmtid="{D5CDD505-2E9C-101B-9397-08002B2CF9AE}" pid="15" name="Objective-VersionComment">
    <vt:lpwstr>Version 2</vt:lpwstr>
  </property>
  <property fmtid="{D5CDD505-2E9C-101B-9397-08002B2CF9AE}" pid="16" name="Objective-VersionNumber">
    <vt:i4>2</vt:i4>
  </property>
  <property fmtid="{D5CDD505-2E9C-101B-9397-08002B2CF9AE}" pid="17" name="Objective-FileNumber">
    <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Additional Information [system]">
    <vt:lpwstr/>
  </property>
  <property fmtid="{D5CDD505-2E9C-101B-9397-08002B2CF9AE}" pid="21" name="_NewReviewCycle">
    <vt:lpwstr/>
  </property>
</Properties>
</file>